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rman.ansari\Desktop\SBL Home Loan\"/>
    </mc:Choice>
  </mc:AlternateContent>
  <workbookProtection workbookAlgorithmName="SHA-512" workbookHashValue="0w2h6iENclQ9S+x3k1ZjLh9A9JuiHQ6N/uu3vEzTSMr0oF4vT0b8i1jQv0xr+DDVPCkQCz6DpUTcgpHvHPrU1g==" workbookSaltValue="GzSWAVuxTohiqNULpfxZwA==" workbookSpinCount="100000" lockStructure="1"/>
  <bookViews>
    <workbookView xWindow="0" yWindow="0" windowWidth="20490" windowHeight="7620"/>
  </bookViews>
  <sheets>
    <sheet name="RAG Loan Calculator" sheetId="2" r:id="rId1"/>
    <sheet name="Insurance &amp; Value Added Service" sheetId="4" state="hidden" r:id="rId2"/>
    <sheet name="Sheet3" sheetId="5" state="hidden" r:id="rId3"/>
    <sheet name="Sheet2" sheetId="3" state="hidden" r:id="rId4"/>
    <sheet name="Sheet4" sheetId="6" state="hidden" r:id="rId5"/>
    <sheet name="Sheet1" sheetId="1" state="hidden" r:id="rId6"/>
  </sheets>
  <definedNames>
    <definedName name="_xlnm.Print_Area" localSheetId="0">'RAG Loan Calculator'!$B$2:$P$47</definedName>
    <definedName name="_xlnm.Print_Area" localSheetId="5">Sheet1!$B$1:$F$7</definedName>
  </definedNames>
  <calcPr calcId="162913"/>
</workbook>
</file>

<file path=xl/calcChain.xml><?xml version="1.0" encoding="utf-8"?>
<calcChain xmlns="http://schemas.openxmlformats.org/spreadsheetml/2006/main">
  <c r="M13" i="2" l="1"/>
  <c r="O13" i="2" s="1"/>
  <c r="R43" i="3" l="1"/>
  <c r="Q43" i="3" s="1"/>
  <c r="R45" i="3"/>
  <c r="Q45" i="3" s="1"/>
  <c r="J29" i="2"/>
  <c r="C58" i="2" l="1"/>
  <c r="C57" i="2"/>
  <c r="C56" i="2"/>
  <c r="C55" i="2"/>
  <c r="C54" i="2"/>
  <c r="D58" i="2"/>
  <c r="D57" i="2"/>
  <c r="D56" i="2"/>
  <c r="D55" i="2"/>
  <c r="D54" i="2"/>
  <c r="P2" i="2" l="1"/>
  <c r="M11" i="2" l="1"/>
  <c r="D6" i="5" s="1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D14" i="5"/>
  <c r="D15" i="5" s="1"/>
  <c r="D16" i="5" l="1"/>
  <c r="G6" i="5" l="1"/>
  <c r="D17" i="5"/>
  <c r="D18" i="5" l="1"/>
  <c r="D19" i="5" l="1"/>
  <c r="D20" i="5" l="1"/>
  <c r="D21" i="5" l="1"/>
  <c r="D22" i="5" l="1"/>
  <c r="D23" i="5" l="1"/>
  <c r="D24" i="5" l="1"/>
  <c r="D25" i="5" l="1"/>
  <c r="D26" i="5" l="1"/>
  <c r="D27" i="5" l="1"/>
  <c r="D28" i="5" l="1"/>
  <c r="D29" i="5" l="1"/>
  <c r="D30" i="5" l="1"/>
  <c r="D31" i="5" l="1"/>
  <c r="D32" i="5" l="1"/>
  <c r="D33" i="5" l="1"/>
  <c r="D34" i="5" l="1"/>
  <c r="D35" i="5" l="1"/>
  <c r="D36" i="5" l="1"/>
  <c r="D37" i="5" l="1"/>
  <c r="D38" i="5" l="1"/>
  <c r="D39" i="5" l="1"/>
  <c r="D40" i="5" l="1"/>
  <c r="D41" i="5" l="1"/>
  <c r="D42" i="5" l="1"/>
  <c r="D43" i="5" l="1"/>
  <c r="D44" i="5" l="1"/>
  <c r="D45" i="5" l="1"/>
  <c r="D46" i="5" l="1"/>
  <c r="D47" i="5" l="1"/>
  <c r="D48" i="5" l="1"/>
  <c r="D49" i="5" l="1"/>
  <c r="D50" i="5" l="1"/>
  <c r="D51" i="5" l="1"/>
  <c r="D52" i="5" l="1"/>
  <c r="D53" i="5" l="1"/>
  <c r="D54" i="5" l="1"/>
  <c r="D55" i="5" l="1"/>
  <c r="D56" i="5" l="1"/>
  <c r="D57" i="5" l="1"/>
  <c r="D58" i="5" l="1"/>
  <c r="D59" i="5" l="1"/>
  <c r="D60" i="5" l="1"/>
  <c r="D61" i="5" l="1"/>
  <c r="D62" i="5" l="1"/>
  <c r="D63" i="5" l="1"/>
  <c r="D64" i="5" l="1"/>
  <c r="D65" i="5" l="1"/>
  <c r="D66" i="5" l="1"/>
  <c r="D67" i="5" l="1"/>
  <c r="D68" i="5" l="1"/>
  <c r="D69" i="5" l="1"/>
  <c r="D70" i="5" l="1"/>
  <c r="D71" i="5" l="1"/>
  <c r="D72" i="5" l="1"/>
  <c r="D73" i="5" l="1"/>
  <c r="D74" i="5" l="1"/>
  <c r="D75" i="5" l="1"/>
  <c r="D76" i="5" l="1"/>
  <c r="D77" i="5" l="1"/>
  <c r="D78" i="5" l="1"/>
  <c r="D79" i="5" l="1"/>
  <c r="D80" i="5" l="1"/>
  <c r="D81" i="5" l="1"/>
  <c r="D82" i="5" l="1"/>
  <c r="D83" i="5" l="1"/>
  <c r="D84" i="5" l="1"/>
  <c r="D85" i="5" l="1"/>
  <c r="D86" i="5" l="1"/>
  <c r="D87" i="5" l="1"/>
  <c r="D88" i="5" l="1"/>
  <c r="D89" i="5" l="1"/>
  <c r="D90" i="5" l="1"/>
  <c r="D91" i="5" l="1"/>
  <c r="D92" i="5" l="1"/>
  <c r="D93" i="5" l="1"/>
  <c r="D94" i="5" l="1"/>
  <c r="D95" i="5" l="1"/>
  <c r="D96" i="5" l="1"/>
  <c r="D97" i="5" l="1"/>
  <c r="D98" i="5" l="1"/>
  <c r="D99" i="5" l="1"/>
  <c r="D100" i="5" l="1"/>
  <c r="D101" i="5" l="1"/>
  <c r="D102" i="5" l="1"/>
  <c r="D103" i="5" l="1"/>
  <c r="D104" i="5" l="1"/>
  <c r="D105" i="5" l="1"/>
  <c r="D106" i="5" l="1"/>
  <c r="D107" i="5" l="1"/>
  <c r="D108" i="5" l="1"/>
  <c r="D109" i="5" l="1"/>
  <c r="D110" i="5" l="1"/>
  <c r="D111" i="5" l="1"/>
  <c r="D112" i="5" l="1"/>
  <c r="D113" i="5" l="1"/>
  <c r="D114" i="5" l="1"/>
  <c r="D115" i="5" l="1"/>
  <c r="D116" i="5" l="1"/>
  <c r="D117" i="5" l="1"/>
  <c r="D118" i="5" l="1"/>
  <c r="D119" i="5" l="1"/>
  <c r="D120" i="5" l="1"/>
  <c r="D121" i="5" l="1"/>
  <c r="D122" i="5" l="1"/>
  <c r="D123" i="5" l="1"/>
  <c r="D124" i="5" l="1"/>
  <c r="D125" i="5" l="1"/>
  <c r="D126" i="5" l="1"/>
  <c r="D127" i="5" l="1"/>
  <c r="D128" i="5" l="1"/>
  <c r="D129" i="5" l="1"/>
  <c r="D130" i="5" l="1"/>
  <c r="D131" i="5" l="1"/>
  <c r="D132" i="5" l="1"/>
  <c r="D133" i="5" l="1"/>
  <c r="D134" i="5" l="1"/>
  <c r="D135" i="5" l="1"/>
  <c r="D136" i="5" l="1"/>
  <c r="D137" i="5" l="1"/>
  <c r="D138" i="5" l="1"/>
  <c r="D139" i="5" l="1"/>
  <c r="D140" i="5" l="1"/>
  <c r="D141" i="5" l="1"/>
  <c r="D142" i="5" l="1"/>
  <c r="D143" i="5" l="1"/>
  <c r="D144" i="5" l="1"/>
  <c r="D145" i="5" l="1"/>
  <c r="D146" i="5" l="1"/>
  <c r="D147" i="5" l="1"/>
  <c r="D148" i="5" l="1"/>
  <c r="D149" i="5" l="1"/>
  <c r="D150" i="5" l="1"/>
  <c r="D151" i="5" l="1"/>
  <c r="D152" i="5" l="1"/>
  <c r="D153" i="5" l="1"/>
  <c r="D154" i="5" l="1"/>
  <c r="D155" i="5" l="1"/>
  <c r="D156" i="5" l="1"/>
  <c r="D157" i="5" l="1"/>
  <c r="D158" i="5" l="1"/>
  <c r="D159" i="5" l="1"/>
  <c r="D160" i="5" l="1"/>
  <c r="D161" i="5" l="1"/>
  <c r="D162" i="5" l="1"/>
  <c r="D163" i="5" l="1"/>
  <c r="D164" i="5" l="1"/>
  <c r="D165" i="5" l="1"/>
  <c r="D166" i="5" l="1"/>
  <c r="D167" i="5" l="1"/>
  <c r="D168" i="5" l="1"/>
  <c r="D169" i="5" l="1"/>
  <c r="D170" i="5" l="1"/>
  <c r="D171" i="5" l="1"/>
  <c r="D172" i="5" l="1"/>
  <c r="D173" i="5" l="1"/>
  <c r="D174" i="5" l="1"/>
  <c r="D175" i="5" l="1"/>
  <c r="D176" i="5" l="1"/>
  <c r="D177" i="5" l="1"/>
  <c r="D178" i="5" l="1"/>
  <c r="D179" i="5" l="1"/>
  <c r="D180" i="5" l="1"/>
  <c r="D181" i="5" l="1"/>
  <c r="D182" i="5" l="1"/>
  <c r="D183" i="5" l="1"/>
  <c r="D184" i="5" l="1"/>
  <c r="D185" i="5" l="1"/>
  <c r="D186" i="5" l="1"/>
  <c r="D187" i="5" l="1"/>
  <c r="D188" i="5" l="1"/>
  <c r="D189" i="5" l="1"/>
  <c r="D190" i="5" l="1"/>
  <c r="D191" i="5" l="1"/>
  <c r="D192" i="5" l="1"/>
  <c r="D193" i="5" l="1"/>
  <c r="D194" i="5" l="1"/>
  <c r="D195" i="5" l="1"/>
  <c r="D196" i="5" l="1"/>
  <c r="D197" i="5" l="1"/>
  <c r="D198" i="5" l="1"/>
  <c r="D199" i="5" l="1"/>
  <c r="D200" i="5" l="1"/>
  <c r="D201" i="5" l="1"/>
  <c r="D202" i="5" l="1"/>
  <c r="D203" i="5" l="1"/>
  <c r="D204" i="5" l="1"/>
  <c r="D205" i="5" l="1"/>
  <c r="D206" i="5" l="1"/>
  <c r="D207" i="5" l="1"/>
  <c r="D208" i="5" l="1"/>
  <c r="D209" i="5" l="1"/>
  <c r="D210" i="5" l="1"/>
  <c r="D211" i="5" l="1"/>
  <c r="D212" i="5" l="1"/>
  <c r="D213" i="5" l="1"/>
  <c r="D214" i="5" l="1"/>
  <c r="D215" i="5" l="1"/>
  <c r="D216" i="5" l="1"/>
  <c r="D217" i="5" l="1"/>
  <c r="D218" i="5" l="1"/>
  <c r="D219" i="5" l="1"/>
  <c r="D220" i="5" l="1"/>
  <c r="D221" i="5" l="1"/>
  <c r="D222" i="5" l="1"/>
  <c r="D223" i="5" l="1"/>
  <c r="D224" i="5" l="1"/>
  <c r="D225" i="5" l="1"/>
  <c r="D226" i="5" l="1"/>
  <c r="D227" i="5" l="1"/>
  <c r="D228" i="5" l="1"/>
  <c r="D229" i="5" l="1"/>
  <c r="D230" i="5" l="1"/>
  <c r="D231" i="5" l="1"/>
  <c r="D232" i="5" l="1"/>
  <c r="D233" i="5" l="1"/>
  <c r="D234" i="5" l="1"/>
  <c r="D235" i="5" l="1"/>
  <c r="D236" i="5" l="1"/>
  <c r="D237" i="5" l="1"/>
  <c r="D238" i="5" l="1"/>
  <c r="D239" i="5" l="1"/>
  <c r="D240" i="5" l="1"/>
  <c r="D241" i="5" l="1"/>
  <c r="D242" i="5" l="1"/>
  <c r="D243" i="5" l="1"/>
  <c r="D244" i="5" l="1"/>
  <c r="D245" i="5" l="1"/>
  <c r="D246" i="5" l="1"/>
  <c r="D247" i="5" l="1"/>
  <c r="D248" i="5" l="1"/>
  <c r="D249" i="5" l="1"/>
  <c r="D250" i="5" l="1"/>
  <c r="D251" i="5" l="1"/>
  <c r="D252" i="5" l="1"/>
  <c r="D253" i="5" l="1"/>
  <c r="J22" i="2" l="1"/>
  <c r="E5" i="2"/>
  <c r="C40" i="2" l="1"/>
  <c r="C39" i="2"/>
  <c r="C36" i="2"/>
  <c r="C37" i="2"/>
  <c r="C38" i="2"/>
  <c r="P1" i="2"/>
  <c r="Q1" i="2" s="1"/>
  <c r="O1" i="2"/>
  <c r="O2" i="2"/>
  <c r="J17" i="2" l="1"/>
  <c r="J16" i="2"/>
  <c r="D8" i="5"/>
  <c r="J18" i="2" l="1"/>
  <c r="I83" i="3" l="1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E9" i="2" l="1"/>
  <c r="J20" i="2"/>
  <c r="C34" i="2" l="1"/>
  <c r="Q2" i="2"/>
  <c r="C35" i="2"/>
  <c r="J10" i="2"/>
  <c r="C3" i="1"/>
  <c r="C11" i="1"/>
  <c r="F3" i="1"/>
  <c r="H22" i="1"/>
  <c r="F4" i="1"/>
  <c r="H41" i="1"/>
  <c r="F5" i="1"/>
  <c r="H46" i="1"/>
  <c r="F6" i="1"/>
  <c r="H62" i="1"/>
  <c r="C15" i="1"/>
  <c r="F7" i="1"/>
  <c r="H70" i="1"/>
  <c r="C10" i="1"/>
  <c r="F2" i="1"/>
  <c r="H16" i="1"/>
  <c r="F1" i="1"/>
  <c r="B10" i="1"/>
  <c r="D10" i="1"/>
  <c r="E10" i="1"/>
  <c r="C21" i="1"/>
  <c r="C23" i="1"/>
  <c r="C41" i="1"/>
  <c r="C43" i="1"/>
  <c r="C45" i="1"/>
  <c r="C53" i="1"/>
  <c r="C66" i="1"/>
  <c r="C68" i="1"/>
  <c r="C74" i="1"/>
  <c r="C78" i="1"/>
  <c r="C88" i="1"/>
  <c r="H17" i="1"/>
  <c r="H18" i="1"/>
  <c r="H24" i="1"/>
  <c r="A11" i="1"/>
  <c r="A12" i="1"/>
  <c r="C93" i="1"/>
  <c r="I93" i="1"/>
  <c r="C81" i="1"/>
  <c r="I81" i="1"/>
  <c r="C77" i="1"/>
  <c r="C50" i="1"/>
  <c r="C42" i="1"/>
  <c r="C38" i="1"/>
  <c r="C91" i="1"/>
  <c r="I91" i="1"/>
  <c r="C79" i="1"/>
  <c r="C75" i="1"/>
  <c r="C67" i="1"/>
  <c r="C40" i="1"/>
  <c r="C36" i="1"/>
  <c r="C24" i="1"/>
  <c r="C16" i="1"/>
  <c r="C32" i="1"/>
  <c r="C71" i="1"/>
  <c r="C34" i="1"/>
  <c r="C54" i="1"/>
  <c r="C90" i="1"/>
  <c r="I90" i="1"/>
  <c r="C70" i="1"/>
  <c r="C49" i="1"/>
  <c r="C25" i="1"/>
  <c r="C17" i="1"/>
  <c r="I17" i="1"/>
  <c r="H32" i="1"/>
  <c r="I32" i="1"/>
  <c r="H25" i="1"/>
  <c r="H33" i="1"/>
  <c r="H80" i="1"/>
  <c r="C80" i="1"/>
  <c r="I80" i="1"/>
  <c r="H49" i="1"/>
  <c r="I49" i="1"/>
  <c r="H50" i="1"/>
  <c r="I50" i="1"/>
  <c r="H51" i="1"/>
  <c r="C12" i="1"/>
  <c r="C59" i="1"/>
  <c r="C22" i="1"/>
  <c r="I22" i="1"/>
  <c r="C73" i="1"/>
  <c r="H71" i="1"/>
  <c r="I71" i="1"/>
  <c r="C55" i="1"/>
  <c r="C31" i="1"/>
  <c r="C56" i="1"/>
  <c r="C18" i="1"/>
  <c r="C69" i="1"/>
  <c r="H72" i="1"/>
  <c r="H27" i="1"/>
  <c r="C84" i="1"/>
  <c r="I84" i="1"/>
  <c r="C62" i="1"/>
  <c r="C33" i="1"/>
  <c r="I41" i="1"/>
  <c r="C48" i="1"/>
  <c r="C14" i="1"/>
  <c r="C61" i="1"/>
  <c r="H73" i="1"/>
  <c r="H28" i="1"/>
  <c r="C86" i="1"/>
  <c r="I86" i="1"/>
  <c r="C64" i="1"/>
  <c r="C37" i="1"/>
  <c r="C6" i="1"/>
  <c r="C13" i="1"/>
  <c r="I24" i="1"/>
  <c r="H52" i="1"/>
  <c r="I18" i="1"/>
  <c r="H59" i="1"/>
  <c r="I59" i="1"/>
  <c r="H60" i="1"/>
  <c r="H63" i="1"/>
  <c r="F10" i="1"/>
  <c r="G10" i="1"/>
  <c r="C44" i="1"/>
  <c r="C87" i="1"/>
  <c r="I87" i="1"/>
  <c r="C46" i="1"/>
  <c r="I46" i="1"/>
  <c r="C85" i="1"/>
  <c r="I85" i="1"/>
  <c r="J10" i="1"/>
  <c r="K10" i="1"/>
  <c r="C72" i="1"/>
  <c r="I72" i="1"/>
  <c r="C51" i="1"/>
  <c r="C29" i="1"/>
  <c r="H38" i="1"/>
  <c r="I38" i="1"/>
  <c r="H19" i="1"/>
  <c r="H11" i="1"/>
  <c r="I11" i="1"/>
  <c r="H10" i="1"/>
  <c r="I10" i="1"/>
  <c r="C7" i="1"/>
  <c r="H65" i="1"/>
  <c r="J11" i="1"/>
  <c r="K11" i="1"/>
  <c r="H54" i="1"/>
  <c r="I54" i="1"/>
  <c r="H39" i="1"/>
  <c r="H14" i="1"/>
  <c r="H58" i="1"/>
  <c r="I62" i="1"/>
  <c r="L12" i="1"/>
  <c r="H34" i="1"/>
  <c r="I34" i="1"/>
  <c r="H20" i="1"/>
  <c r="H12" i="1"/>
  <c r="I12" i="1"/>
  <c r="H69" i="1"/>
  <c r="H53" i="1"/>
  <c r="I53" i="1"/>
  <c r="H36" i="1"/>
  <c r="I36" i="1"/>
  <c r="H21" i="1"/>
  <c r="I21" i="1"/>
  <c r="H13" i="1"/>
  <c r="H56" i="1"/>
  <c r="H40" i="1"/>
  <c r="I40" i="1"/>
  <c r="H15" i="1"/>
  <c r="I15" i="1"/>
  <c r="C28" i="1"/>
  <c r="I28" i="1"/>
  <c r="C63" i="1"/>
  <c r="I63" i="1"/>
  <c r="C30" i="1"/>
  <c r="C65" i="1"/>
  <c r="H57" i="1"/>
  <c r="H48" i="1"/>
  <c r="H26" i="1"/>
  <c r="C92" i="1"/>
  <c r="I92" i="1"/>
  <c r="C76" i="1"/>
  <c r="C60" i="1"/>
  <c r="C39" i="1"/>
  <c r="C19" i="1"/>
  <c r="I48" i="1"/>
  <c r="H77" i="1"/>
  <c r="I77" i="1"/>
  <c r="H76" i="1"/>
  <c r="H78" i="1"/>
  <c r="I78" i="1"/>
  <c r="H75" i="1"/>
  <c r="I75" i="1"/>
  <c r="H35" i="1"/>
  <c r="H44" i="1"/>
  <c r="H37" i="1"/>
  <c r="H43" i="1"/>
  <c r="H42" i="1"/>
  <c r="I42" i="1"/>
  <c r="J12" i="1"/>
  <c r="K12" i="1"/>
  <c r="A13" i="1"/>
  <c r="I43" i="1"/>
  <c r="I88" i="1"/>
  <c r="I73" i="1"/>
  <c r="H68" i="1"/>
  <c r="I68" i="1"/>
  <c r="H61" i="1"/>
  <c r="H67" i="1"/>
  <c r="I67" i="1"/>
  <c r="H64" i="1"/>
  <c r="I64" i="1"/>
  <c r="H66" i="1"/>
  <c r="I66" i="1"/>
  <c r="H45" i="1"/>
  <c r="I45" i="1"/>
  <c r="H74" i="1"/>
  <c r="I74" i="1"/>
  <c r="I33" i="1"/>
  <c r="H79" i="1"/>
  <c r="I79" i="1"/>
  <c r="H23" i="1"/>
  <c r="I23" i="1"/>
  <c r="H31" i="1"/>
  <c r="H30" i="1"/>
  <c r="H29" i="1"/>
  <c r="I29" i="1"/>
  <c r="I25" i="1"/>
  <c r="I16" i="1"/>
  <c r="B11" i="1"/>
  <c r="I70" i="1"/>
  <c r="C20" i="1"/>
  <c r="C52" i="1"/>
  <c r="C83" i="1"/>
  <c r="C26" i="1"/>
  <c r="C58" i="1"/>
  <c r="C89" i="1"/>
  <c r="H55" i="1"/>
  <c r="H47" i="1"/>
  <c r="C82" i="1"/>
  <c r="C57" i="1"/>
  <c r="C47" i="1"/>
  <c r="C35" i="1"/>
  <c r="C27" i="1"/>
  <c r="I60" i="1"/>
  <c r="I56" i="1"/>
  <c r="I69" i="1"/>
  <c r="I30" i="1"/>
  <c r="I37" i="1"/>
  <c r="I76" i="1"/>
  <c r="I51" i="1"/>
  <c r="I14" i="1"/>
  <c r="I13" i="1"/>
  <c r="I55" i="1"/>
  <c r="I31" i="1"/>
  <c r="I61" i="1"/>
  <c r="I19" i="1"/>
  <c r="I39" i="1"/>
  <c r="I65" i="1"/>
  <c r="I44" i="1"/>
  <c r="I26" i="1"/>
  <c r="I35" i="1"/>
  <c r="I27" i="1"/>
  <c r="I58" i="1"/>
  <c r="D11" i="1"/>
  <c r="I89" i="1"/>
  <c r="A14" i="1"/>
  <c r="J13" i="1"/>
  <c r="K13" i="1"/>
  <c r="I82" i="1"/>
  <c r="I20" i="1"/>
  <c r="I57" i="1"/>
  <c r="I52" i="1"/>
  <c r="I47" i="1"/>
  <c r="I83" i="1"/>
  <c r="J14" i="1"/>
  <c r="K14" i="1"/>
  <c r="A15" i="1"/>
  <c r="E11" i="1"/>
  <c r="F11" i="1"/>
  <c r="J15" i="1"/>
  <c r="K15" i="1"/>
  <c r="A16" i="1"/>
  <c r="G11" i="1"/>
  <c r="B12" i="1"/>
  <c r="J16" i="1"/>
  <c r="K16" i="1"/>
  <c r="A17" i="1"/>
  <c r="D12" i="1"/>
  <c r="A18" i="1"/>
  <c r="J17" i="1"/>
  <c r="K17" i="1"/>
  <c r="F12" i="1"/>
  <c r="E12" i="1"/>
  <c r="A19" i="1"/>
  <c r="J18" i="1"/>
  <c r="K18" i="1"/>
  <c r="G12" i="1"/>
  <c r="B13" i="1"/>
  <c r="J19" i="1"/>
  <c r="K19" i="1"/>
  <c r="A20" i="1"/>
  <c r="D13" i="1"/>
  <c r="A21" i="1"/>
  <c r="J20" i="1"/>
  <c r="K20" i="1"/>
  <c r="F13" i="1"/>
  <c r="E13" i="1"/>
  <c r="A22" i="1"/>
  <c r="J21" i="1"/>
  <c r="K21" i="1"/>
  <c r="G13" i="1"/>
  <c r="B14" i="1"/>
  <c r="J22" i="1"/>
  <c r="K22" i="1"/>
  <c r="A23" i="1"/>
  <c r="D14" i="1"/>
  <c r="A24" i="1"/>
  <c r="J23" i="1"/>
  <c r="K23" i="1"/>
  <c r="F14" i="1"/>
  <c r="E14" i="1"/>
  <c r="A25" i="1"/>
  <c r="J24" i="1"/>
  <c r="K24" i="1"/>
  <c r="G14" i="1"/>
  <c r="B15" i="1"/>
  <c r="J25" i="1"/>
  <c r="K25" i="1"/>
  <c r="A26" i="1"/>
  <c r="D15" i="1"/>
  <c r="J26" i="1"/>
  <c r="K26" i="1"/>
  <c r="A27" i="1"/>
  <c r="F15" i="1"/>
  <c r="E15" i="1"/>
  <c r="G15" i="1"/>
  <c r="B16" i="1"/>
  <c r="A28" i="1"/>
  <c r="J27" i="1"/>
  <c r="K27" i="1"/>
  <c r="A29" i="1"/>
  <c r="J28" i="1"/>
  <c r="K28" i="1"/>
  <c r="D16" i="1"/>
  <c r="A30" i="1"/>
  <c r="J29" i="1"/>
  <c r="K29" i="1"/>
  <c r="F16" i="1"/>
  <c r="E16" i="1"/>
  <c r="J30" i="1"/>
  <c r="K30" i="1"/>
  <c r="A31" i="1"/>
  <c r="B17" i="1"/>
  <c r="G16" i="1"/>
  <c r="J31" i="1"/>
  <c r="K31" i="1"/>
  <c r="A32" i="1"/>
  <c r="D17" i="1"/>
  <c r="A33" i="1"/>
  <c r="J32" i="1"/>
  <c r="K32" i="1"/>
  <c r="F17" i="1"/>
  <c r="E17" i="1"/>
  <c r="J33" i="1"/>
  <c r="K33" i="1"/>
  <c r="A34" i="1"/>
  <c r="G17" i="1"/>
  <c r="B18" i="1"/>
  <c r="A35" i="1"/>
  <c r="J34" i="1"/>
  <c r="K34" i="1"/>
  <c r="D18" i="1"/>
  <c r="A36" i="1"/>
  <c r="J35" i="1"/>
  <c r="K35" i="1"/>
  <c r="F18" i="1"/>
  <c r="E18" i="1"/>
  <c r="A37" i="1"/>
  <c r="J36" i="1"/>
  <c r="K36" i="1"/>
  <c r="G18" i="1"/>
  <c r="B19" i="1"/>
  <c r="J37" i="1"/>
  <c r="K37" i="1"/>
  <c r="A38" i="1"/>
  <c r="D19" i="1"/>
  <c r="J38" i="1"/>
  <c r="K38" i="1"/>
  <c r="A39" i="1"/>
  <c r="F19" i="1"/>
  <c r="E19" i="1"/>
  <c r="A40" i="1"/>
  <c r="J39" i="1"/>
  <c r="K39" i="1"/>
  <c r="G19" i="1"/>
  <c r="B20" i="1"/>
  <c r="J40" i="1"/>
  <c r="K40" i="1"/>
  <c r="A41" i="1"/>
  <c r="D20" i="1"/>
  <c r="A42" i="1"/>
  <c r="J41" i="1"/>
  <c r="K41" i="1"/>
  <c r="F20" i="1"/>
  <c r="E20" i="1"/>
  <c r="A43" i="1"/>
  <c r="J42" i="1"/>
  <c r="K42" i="1"/>
  <c r="G20" i="1"/>
  <c r="B21" i="1"/>
  <c r="A44" i="1"/>
  <c r="J43" i="1"/>
  <c r="K43" i="1"/>
  <c r="D21" i="1"/>
  <c r="J44" i="1"/>
  <c r="K44" i="1"/>
  <c r="A45" i="1"/>
  <c r="F21" i="1"/>
  <c r="E21" i="1"/>
  <c r="J45" i="1"/>
  <c r="K45" i="1"/>
  <c r="A46" i="1"/>
  <c r="G21" i="1"/>
  <c r="B22" i="1"/>
  <c r="A47" i="1"/>
  <c r="J46" i="1"/>
  <c r="K46" i="1"/>
  <c r="D22" i="1"/>
  <c r="A48" i="1"/>
  <c r="J47" i="1"/>
  <c r="K47" i="1"/>
  <c r="F22" i="1"/>
  <c r="E22" i="1"/>
  <c r="J48" i="1"/>
  <c r="K48" i="1"/>
  <c r="A49" i="1"/>
  <c r="G22" i="1"/>
  <c r="B23" i="1"/>
  <c r="J49" i="1"/>
  <c r="K49" i="1"/>
  <c r="A50" i="1"/>
  <c r="D23" i="1"/>
  <c r="J50" i="1"/>
  <c r="K50" i="1"/>
  <c r="A51" i="1"/>
  <c r="F23" i="1"/>
  <c r="E23" i="1"/>
  <c r="A52" i="1"/>
  <c r="J51" i="1"/>
  <c r="K51" i="1"/>
  <c r="G23" i="1"/>
  <c r="B24" i="1"/>
  <c r="J52" i="1"/>
  <c r="K52" i="1"/>
  <c r="A53" i="1"/>
  <c r="D24" i="1"/>
  <c r="A54" i="1"/>
  <c r="J53" i="1"/>
  <c r="K53" i="1"/>
  <c r="F24" i="1"/>
  <c r="E24" i="1"/>
  <c r="J54" i="1"/>
  <c r="K54" i="1"/>
  <c r="A55" i="1"/>
  <c r="G24" i="1"/>
  <c r="B25" i="1"/>
  <c r="J55" i="1"/>
  <c r="K55" i="1"/>
  <c r="A56" i="1"/>
  <c r="D25" i="1"/>
  <c r="J56" i="1"/>
  <c r="K56" i="1"/>
  <c r="A57" i="1"/>
  <c r="F25" i="1"/>
  <c r="E25" i="1"/>
  <c r="A58" i="1"/>
  <c r="J57" i="1"/>
  <c r="K57" i="1"/>
  <c r="B26" i="1"/>
  <c r="G25" i="1"/>
  <c r="A59" i="1"/>
  <c r="J58" i="1"/>
  <c r="K58" i="1"/>
  <c r="D26" i="1"/>
  <c r="A60" i="1"/>
  <c r="J59" i="1"/>
  <c r="K59" i="1"/>
  <c r="F26" i="1"/>
  <c r="E26" i="1"/>
  <c r="J60" i="1"/>
  <c r="K60" i="1"/>
  <c r="A61" i="1"/>
  <c r="G26" i="1"/>
  <c r="B27" i="1"/>
  <c r="J61" i="1"/>
  <c r="K61" i="1"/>
  <c r="A62" i="1"/>
  <c r="D27" i="1"/>
  <c r="J62" i="1"/>
  <c r="K62" i="1"/>
  <c r="A63" i="1"/>
  <c r="F27" i="1"/>
  <c r="E27" i="1"/>
  <c r="J63" i="1"/>
  <c r="K63" i="1"/>
  <c r="A64" i="1"/>
  <c r="G27" i="1"/>
  <c r="B28" i="1"/>
  <c r="A65" i="1"/>
  <c r="J64" i="1"/>
  <c r="K64" i="1"/>
  <c r="D28" i="1"/>
  <c r="A66" i="1"/>
  <c r="J65" i="1"/>
  <c r="K65" i="1"/>
  <c r="F28" i="1"/>
  <c r="E28" i="1"/>
  <c r="J66" i="1"/>
  <c r="K66" i="1"/>
  <c r="A67" i="1"/>
  <c r="G28" i="1"/>
  <c r="B29" i="1"/>
  <c r="J67" i="1"/>
  <c r="K67" i="1"/>
  <c r="A68" i="1"/>
  <c r="D29" i="1"/>
  <c r="J68" i="1"/>
  <c r="K68" i="1"/>
  <c r="A69" i="1"/>
  <c r="F29" i="1"/>
  <c r="E29" i="1"/>
  <c r="J69" i="1"/>
  <c r="K69" i="1"/>
  <c r="A70" i="1"/>
  <c r="G29" i="1"/>
  <c r="B30" i="1"/>
  <c r="A71" i="1"/>
  <c r="J70" i="1"/>
  <c r="K70" i="1"/>
  <c r="D30" i="1"/>
  <c r="A72" i="1"/>
  <c r="J71" i="1"/>
  <c r="K71" i="1"/>
  <c r="F30" i="1"/>
  <c r="E30" i="1"/>
  <c r="A73" i="1"/>
  <c r="J72" i="1"/>
  <c r="K72" i="1"/>
  <c r="G30" i="1"/>
  <c r="B31" i="1"/>
  <c r="J73" i="1"/>
  <c r="K73" i="1"/>
  <c r="A74" i="1"/>
  <c r="D31" i="1"/>
  <c r="J74" i="1"/>
  <c r="K74" i="1"/>
  <c r="A75" i="1"/>
  <c r="F31" i="1"/>
  <c r="E31" i="1"/>
  <c r="J75" i="1"/>
  <c r="K75" i="1"/>
  <c r="A76" i="1"/>
  <c r="G31" i="1"/>
  <c r="B32" i="1"/>
  <c r="J76" i="1"/>
  <c r="K76" i="1"/>
  <c r="A77" i="1"/>
  <c r="D32" i="1"/>
  <c r="A78" i="1"/>
  <c r="J77" i="1"/>
  <c r="K77" i="1"/>
  <c r="F32" i="1"/>
  <c r="E32" i="1"/>
  <c r="A79" i="1"/>
  <c r="J78" i="1"/>
  <c r="K78" i="1"/>
  <c r="G32" i="1"/>
  <c r="B33" i="1"/>
  <c r="J79" i="1"/>
  <c r="K79" i="1"/>
  <c r="A80" i="1"/>
  <c r="D33" i="1"/>
  <c r="J80" i="1"/>
  <c r="K80" i="1"/>
  <c r="A81" i="1"/>
  <c r="F33" i="1"/>
  <c r="E33" i="1"/>
  <c r="A82" i="1"/>
  <c r="J81" i="1"/>
  <c r="K81" i="1"/>
  <c r="G33" i="1"/>
  <c r="B34" i="1"/>
  <c r="A83" i="1"/>
  <c r="J82" i="1"/>
  <c r="K82" i="1"/>
  <c r="D34" i="1"/>
  <c r="J83" i="1"/>
  <c r="K83" i="1"/>
  <c r="A84" i="1"/>
  <c r="F34" i="1"/>
  <c r="E34" i="1"/>
  <c r="J84" i="1"/>
  <c r="K84" i="1"/>
  <c r="A85" i="1"/>
  <c r="G34" i="1"/>
  <c r="B35" i="1"/>
  <c r="J85" i="1"/>
  <c r="K85" i="1"/>
  <c r="A86" i="1"/>
  <c r="D35" i="1"/>
  <c r="J86" i="1"/>
  <c r="K86" i="1"/>
  <c r="A87" i="1"/>
  <c r="F35" i="1"/>
  <c r="E35" i="1"/>
  <c r="A88" i="1"/>
  <c r="J87" i="1"/>
  <c r="K87" i="1"/>
  <c r="G35" i="1"/>
  <c r="B36" i="1"/>
  <c r="J88" i="1"/>
  <c r="K88" i="1"/>
  <c r="A89" i="1"/>
  <c r="D36" i="1"/>
  <c r="J89" i="1"/>
  <c r="K89" i="1"/>
  <c r="A90" i="1"/>
  <c r="F36" i="1"/>
  <c r="E36" i="1"/>
  <c r="A91" i="1"/>
  <c r="J90" i="1"/>
  <c r="K90" i="1"/>
  <c r="G36" i="1"/>
  <c r="B37" i="1"/>
  <c r="J91" i="1"/>
  <c r="K91" i="1"/>
  <c r="A92" i="1"/>
  <c r="D37" i="1"/>
  <c r="A93" i="1"/>
  <c r="J93" i="1"/>
  <c r="K93" i="1"/>
  <c r="J92" i="1"/>
  <c r="K92" i="1"/>
  <c r="F37" i="1"/>
  <c r="E37" i="1"/>
  <c r="G37" i="1"/>
  <c r="B38" i="1"/>
  <c r="D38" i="1"/>
  <c r="F38" i="1"/>
  <c r="E38" i="1"/>
  <c r="G38" i="1"/>
  <c r="B39" i="1"/>
  <c r="D39" i="1"/>
  <c r="F39" i="1"/>
  <c r="E39" i="1"/>
  <c r="G39" i="1"/>
  <c r="B40" i="1"/>
  <c r="D40" i="1"/>
  <c r="F40" i="1"/>
  <c r="E40" i="1"/>
  <c r="G40" i="1"/>
  <c r="B41" i="1"/>
  <c r="D41" i="1"/>
  <c r="F41" i="1"/>
  <c r="E41" i="1"/>
  <c r="G41" i="1"/>
  <c r="B42" i="1"/>
  <c r="D42" i="1"/>
  <c r="F42" i="1"/>
  <c r="E42" i="1"/>
  <c r="G42" i="1"/>
  <c r="B43" i="1"/>
  <c r="D43" i="1"/>
  <c r="F43" i="1"/>
  <c r="E43" i="1"/>
  <c r="G43" i="1"/>
  <c r="B44" i="1"/>
  <c r="D44" i="1"/>
  <c r="F44" i="1"/>
  <c r="E44" i="1"/>
  <c r="G44" i="1"/>
  <c r="B45" i="1"/>
  <c r="D45" i="1"/>
  <c r="F45" i="1"/>
  <c r="E45" i="1"/>
  <c r="G45" i="1"/>
  <c r="B46" i="1"/>
  <c r="D46" i="1"/>
  <c r="F46" i="1"/>
  <c r="E46" i="1"/>
  <c r="G46" i="1"/>
  <c r="B47" i="1"/>
  <c r="D47" i="1"/>
  <c r="F47" i="1"/>
  <c r="E47" i="1"/>
  <c r="G47" i="1"/>
  <c r="B48" i="1"/>
  <c r="D48" i="1"/>
  <c r="F48" i="1"/>
  <c r="E48" i="1"/>
  <c r="B49" i="1"/>
  <c r="G48" i="1"/>
  <c r="D49" i="1"/>
  <c r="F49" i="1"/>
  <c r="E49" i="1"/>
  <c r="G49" i="1"/>
  <c r="B50" i="1"/>
  <c r="D50" i="1"/>
  <c r="F50" i="1"/>
  <c r="E50" i="1"/>
  <c r="G50" i="1"/>
  <c r="B51" i="1"/>
  <c r="D51" i="1"/>
  <c r="F51" i="1"/>
  <c r="E51" i="1"/>
  <c r="G51" i="1"/>
  <c r="B52" i="1"/>
  <c r="D52" i="1"/>
  <c r="F52" i="1"/>
  <c r="E52" i="1"/>
  <c r="G52" i="1"/>
  <c r="B53" i="1"/>
  <c r="D53" i="1"/>
  <c r="F53" i="1"/>
  <c r="E53" i="1"/>
  <c r="G53" i="1"/>
  <c r="B54" i="1"/>
  <c r="D54" i="1"/>
  <c r="F54" i="1"/>
  <c r="E54" i="1"/>
  <c r="G54" i="1"/>
  <c r="B55" i="1"/>
  <c r="D55" i="1"/>
  <c r="F55" i="1"/>
  <c r="E55" i="1"/>
  <c r="G55" i="1"/>
  <c r="B56" i="1"/>
  <c r="D56" i="1"/>
  <c r="F56" i="1"/>
  <c r="E56" i="1"/>
  <c r="G56" i="1"/>
  <c r="B57" i="1"/>
  <c r="D57" i="1"/>
  <c r="F57" i="1"/>
  <c r="E57" i="1"/>
  <c r="G57" i="1"/>
  <c r="B58" i="1"/>
  <c r="D58" i="1"/>
  <c r="F58" i="1"/>
  <c r="E58" i="1"/>
  <c r="G58" i="1"/>
  <c r="B59" i="1"/>
  <c r="D59" i="1"/>
  <c r="F59" i="1"/>
  <c r="E59" i="1"/>
  <c r="G59" i="1"/>
  <c r="B60" i="1"/>
  <c r="D60" i="1"/>
  <c r="F60" i="1"/>
  <c r="E60" i="1"/>
  <c r="G60" i="1"/>
  <c r="B61" i="1"/>
  <c r="D61" i="1"/>
  <c r="F61" i="1"/>
  <c r="E61" i="1"/>
  <c r="G61" i="1"/>
  <c r="B62" i="1"/>
  <c r="D62" i="1"/>
  <c r="F62" i="1"/>
  <c r="E62" i="1"/>
  <c r="G62" i="1"/>
  <c r="B63" i="1"/>
  <c r="D63" i="1"/>
  <c r="F63" i="1"/>
  <c r="E63" i="1"/>
  <c r="G63" i="1"/>
  <c r="B64" i="1"/>
  <c r="D64" i="1"/>
  <c r="F64" i="1"/>
  <c r="E64" i="1"/>
  <c r="G64" i="1"/>
  <c r="B65" i="1"/>
  <c r="D65" i="1"/>
  <c r="F65" i="1"/>
  <c r="E65" i="1"/>
  <c r="G65" i="1"/>
  <c r="B66" i="1"/>
  <c r="D66" i="1"/>
  <c r="F66" i="1"/>
  <c r="E66" i="1"/>
  <c r="G66" i="1"/>
  <c r="B67" i="1"/>
  <c r="D67" i="1"/>
  <c r="F67" i="1"/>
  <c r="E67" i="1"/>
  <c r="G67" i="1"/>
  <c r="B68" i="1"/>
  <c r="D68" i="1"/>
  <c r="F68" i="1"/>
  <c r="E68" i="1"/>
  <c r="G68" i="1"/>
  <c r="B69" i="1"/>
  <c r="D69" i="1"/>
  <c r="F69" i="1"/>
  <c r="E69" i="1"/>
  <c r="G69" i="1"/>
  <c r="B70" i="1"/>
  <c r="D70" i="1"/>
  <c r="F70" i="1"/>
  <c r="E70" i="1"/>
  <c r="G70" i="1"/>
  <c r="B71" i="1"/>
  <c r="D71" i="1"/>
  <c r="F71" i="1"/>
  <c r="E71" i="1"/>
  <c r="G71" i="1"/>
  <c r="B72" i="1"/>
  <c r="D72" i="1"/>
  <c r="F72" i="1"/>
  <c r="E72" i="1"/>
  <c r="G72" i="1"/>
  <c r="B73" i="1"/>
  <c r="D73" i="1"/>
  <c r="F73" i="1"/>
  <c r="E73" i="1"/>
  <c r="G73" i="1"/>
  <c r="B74" i="1"/>
  <c r="D74" i="1"/>
  <c r="F74" i="1"/>
  <c r="E74" i="1"/>
  <c r="G74" i="1"/>
  <c r="B75" i="1"/>
  <c r="D75" i="1"/>
  <c r="F75" i="1"/>
  <c r="E75" i="1"/>
  <c r="G75" i="1"/>
  <c r="B76" i="1"/>
  <c r="D76" i="1"/>
  <c r="F76" i="1"/>
  <c r="E76" i="1"/>
  <c r="G76" i="1"/>
  <c r="B77" i="1"/>
  <c r="D77" i="1"/>
  <c r="F77" i="1"/>
  <c r="E77" i="1"/>
  <c r="G77" i="1"/>
  <c r="B78" i="1"/>
  <c r="D78" i="1"/>
  <c r="F78" i="1"/>
  <c r="E78" i="1"/>
  <c r="G78" i="1"/>
  <c r="B79" i="1"/>
  <c r="D79" i="1"/>
  <c r="F79" i="1"/>
  <c r="E79" i="1"/>
  <c r="G79" i="1"/>
  <c r="B80" i="1"/>
  <c r="D80" i="1"/>
  <c r="F80" i="1"/>
  <c r="E80" i="1"/>
  <c r="G80" i="1"/>
  <c r="B81" i="1"/>
  <c r="D81" i="1"/>
  <c r="F81" i="1"/>
  <c r="E81" i="1"/>
  <c r="G81" i="1"/>
  <c r="B82" i="1"/>
  <c r="D82" i="1"/>
  <c r="F82" i="1"/>
  <c r="E82" i="1"/>
  <c r="G82" i="1"/>
  <c r="B83" i="1"/>
  <c r="D83" i="1"/>
  <c r="F83" i="1"/>
  <c r="E83" i="1"/>
  <c r="G83" i="1"/>
  <c r="B84" i="1"/>
  <c r="D84" i="1"/>
  <c r="F84" i="1"/>
  <c r="E84" i="1"/>
  <c r="G84" i="1"/>
  <c r="B85" i="1"/>
  <c r="D85" i="1"/>
  <c r="F85" i="1"/>
  <c r="E85" i="1"/>
  <c r="G85" i="1"/>
  <c r="B86" i="1"/>
  <c r="D86" i="1"/>
  <c r="F86" i="1"/>
  <c r="E86" i="1"/>
  <c r="G86" i="1"/>
  <c r="B87" i="1"/>
  <c r="D87" i="1"/>
  <c r="F87" i="1"/>
  <c r="E87" i="1"/>
  <c r="G87" i="1"/>
  <c r="B88" i="1"/>
  <c r="D88" i="1"/>
  <c r="F88" i="1"/>
  <c r="E88" i="1"/>
  <c r="G88" i="1"/>
  <c r="B89" i="1"/>
  <c r="D89" i="1"/>
  <c r="F89" i="1"/>
  <c r="E89" i="1"/>
  <c r="G89" i="1"/>
  <c r="B90" i="1"/>
  <c r="D90" i="1"/>
  <c r="F90" i="1"/>
  <c r="E90" i="1"/>
  <c r="G90" i="1"/>
  <c r="B91" i="1"/>
  <c r="D91" i="1"/>
  <c r="F91" i="1"/>
  <c r="E91" i="1"/>
  <c r="G91" i="1"/>
  <c r="B92" i="1"/>
  <c r="D92" i="1"/>
  <c r="F92" i="1"/>
  <c r="E92" i="1"/>
  <c r="G92" i="1"/>
  <c r="B93" i="1"/>
  <c r="D93" i="1"/>
  <c r="F93" i="1"/>
  <c r="G93" i="1"/>
  <c r="E93" i="1"/>
  <c r="J21" i="2" l="1"/>
  <c r="J23" i="2" s="1"/>
  <c r="H34" i="2" s="1"/>
  <c r="D4" i="5" l="1"/>
  <c r="J26" i="2"/>
  <c r="Q28" i="2" l="1"/>
  <c r="J30" i="2"/>
  <c r="H54" i="2"/>
  <c r="H56" i="2"/>
  <c r="H58" i="2"/>
  <c r="H57" i="2"/>
  <c r="H55" i="2"/>
  <c r="F213" i="5"/>
  <c r="E216" i="5"/>
  <c r="E160" i="5"/>
  <c r="E184" i="5"/>
  <c r="E208" i="5"/>
  <c r="E237" i="5"/>
  <c r="G215" i="5"/>
  <c r="F194" i="5"/>
  <c r="E173" i="5"/>
  <c r="G151" i="5"/>
  <c r="F239" i="5"/>
  <c r="E218" i="5"/>
  <c r="G196" i="5"/>
  <c r="F175" i="5"/>
  <c r="E154" i="5"/>
  <c r="G241" i="5"/>
  <c r="F220" i="5"/>
  <c r="E199" i="5"/>
  <c r="G177" i="5"/>
  <c r="F156" i="5"/>
  <c r="F241" i="5"/>
  <c r="E220" i="5"/>
  <c r="G198" i="5"/>
  <c r="F177" i="5"/>
  <c r="E156" i="5"/>
  <c r="E241" i="5"/>
  <c r="G219" i="5"/>
  <c r="F198" i="5"/>
  <c r="E177" i="5"/>
  <c r="G155" i="5"/>
  <c r="G240" i="5"/>
  <c r="F219" i="5"/>
  <c r="E198" i="5"/>
  <c r="G176" i="5"/>
  <c r="F155" i="5"/>
  <c r="E243" i="5"/>
  <c r="G221" i="5"/>
  <c r="F200" i="5"/>
  <c r="E179" i="5"/>
  <c r="G157" i="5"/>
  <c r="G210" i="5"/>
  <c r="G242" i="5"/>
  <c r="G250" i="5"/>
  <c r="F237" i="5"/>
  <c r="F181" i="5"/>
  <c r="F205" i="5"/>
  <c r="F229" i="5"/>
  <c r="F234" i="5"/>
  <c r="E213" i="5"/>
  <c r="G191" i="5"/>
  <c r="F170" i="5"/>
  <c r="E149" i="5"/>
  <c r="G236" i="5"/>
  <c r="F215" i="5"/>
  <c r="E194" i="5"/>
  <c r="G172" i="5"/>
  <c r="F151" i="5"/>
  <c r="E239" i="5"/>
  <c r="G217" i="5"/>
  <c r="F196" i="5"/>
  <c r="E175" i="5"/>
  <c r="G153" i="5"/>
  <c r="G238" i="5"/>
  <c r="F217" i="5"/>
  <c r="E196" i="5"/>
  <c r="G174" i="5"/>
  <c r="F153" i="5"/>
  <c r="F238" i="5"/>
  <c r="E217" i="5"/>
  <c r="G195" i="5"/>
  <c r="F174" i="5"/>
  <c r="E153" i="5"/>
  <c r="E238" i="5"/>
  <c r="G216" i="5"/>
  <c r="F195" i="5"/>
  <c r="E174" i="5"/>
  <c r="G152" i="5"/>
  <c r="F240" i="5"/>
  <c r="E219" i="5"/>
  <c r="G197" i="5"/>
  <c r="F176" i="5"/>
  <c r="E155" i="5"/>
  <c r="E232" i="5"/>
  <c r="G148" i="5"/>
  <c r="F214" i="5"/>
  <c r="F150" i="5"/>
  <c r="E214" i="5"/>
  <c r="F171" i="5"/>
  <c r="G237" i="5"/>
  <c r="E195" i="5"/>
  <c r="F152" i="5"/>
  <c r="F157" i="5"/>
  <c r="E181" i="5"/>
  <c r="F247" i="5"/>
  <c r="F183" i="5"/>
  <c r="F228" i="5"/>
  <c r="F164" i="5"/>
  <c r="G206" i="5"/>
  <c r="E249" i="5"/>
  <c r="E185" i="5"/>
  <c r="G248" i="5"/>
  <c r="E206" i="5"/>
  <c r="F163" i="5"/>
  <c r="E187" i="5"/>
  <c r="G234" i="5"/>
  <c r="G154" i="5"/>
  <c r="G202" i="5"/>
  <c r="G226" i="5"/>
  <c r="E253" i="5"/>
  <c r="G231" i="5"/>
  <c r="F210" i="5"/>
  <c r="E189" i="5"/>
  <c r="G167" i="5"/>
  <c r="F146" i="5"/>
  <c r="E234" i="5"/>
  <c r="G212" i="5"/>
  <c r="F191" i="5"/>
  <c r="E170" i="5"/>
  <c r="F236" i="5"/>
  <c r="E215" i="5"/>
  <c r="G193" i="5"/>
  <c r="F172" i="5"/>
  <c r="E151" i="5"/>
  <c r="E236" i="5"/>
  <c r="G214" i="5"/>
  <c r="F193" i="5"/>
  <c r="E172" i="5"/>
  <c r="G150" i="5"/>
  <c r="G235" i="5"/>
  <c r="E193" i="5"/>
  <c r="G171" i="5"/>
  <c r="F235" i="5"/>
  <c r="G192" i="5"/>
  <c r="E150" i="5"/>
  <c r="F216" i="5"/>
  <c r="G173" i="5"/>
  <c r="F253" i="5"/>
  <c r="E152" i="5"/>
  <c r="F202" i="5"/>
  <c r="G204" i="5"/>
  <c r="G249" i="5"/>
  <c r="G185" i="5"/>
  <c r="E228" i="5"/>
  <c r="E164" i="5"/>
  <c r="F206" i="5"/>
  <c r="F227" i="5"/>
  <c r="E251" i="5"/>
  <c r="G146" i="5"/>
  <c r="F149" i="5"/>
  <c r="E176" i="5"/>
  <c r="E224" i="5"/>
  <c r="E248" i="5"/>
  <c r="F250" i="5"/>
  <c r="E229" i="5"/>
  <c r="G207" i="5"/>
  <c r="F186" i="5"/>
  <c r="E165" i="5"/>
  <c r="G252" i="5"/>
  <c r="F231" i="5"/>
  <c r="E210" i="5"/>
  <c r="G188" i="5"/>
  <c r="F167" i="5"/>
  <c r="E146" i="5"/>
  <c r="G233" i="5"/>
  <c r="F212" i="5"/>
  <c r="E191" i="5"/>
  <c r="G169" i="5"/>
  <c r="F148" i="5"/>
  <c r="F233" i="5"/>
  <c r="E212" i="5"/>
  <c r="G190" i="5"/>
  <c r="F169" i="5"/>
  <c r="E148" i="5"/>
  <c r="E233" i="5"/>
  <c r="G211" i="5"/>
  <c r="F190" i="5"/>
  <c r="E169" i="5"/>
  <c r="G147" i="5"/>
  <c r="G232" i="5"/>
  <c r="F211" i="5"/>
  <c r="E190" i="5"/>
  <c r="G168" i="5"/>
  <c r="F147" i="5"/>
  <c r="E235" i="5"/>
  <c r="G213" i="5"/>
  <c r="F192" i="5"/>
  <c r="E171" i="5"/>
  <c r="G149" i="5"/>
  <c r="F207" i="5"/>
  <c r="E252" i="5"/>
  <c r="F209" i="5"/>
  <c r="G166" i="5"/>
  <c r="F230" i="5"/>
  <c r="E209" i="5"/>
  <c r="F166" i="5"/>
  <c r="E230" i="5"/>
  <c r="F187" i="5"/>
  <c r="E166" i="5"/>
  <c r="F232" i="5"/>
  <c r="G189" i="5"/>
  <c r="E147" i="5"/>
  <c r="G218" i="5"/>
  <c r="G223" i="5"/>
  <c r="G159" i="5"/>
  <c r="E226" i="5"/>
  <c r="E162" i="5"/>
  <c r="E207" i="5"/>
  <c r="F249" i="5"/>
  <c r="F185" i="5"/>
  <c r="G227" i="5"/>
  <c r="G163" i="5"/>
  <c r="G184" i="5"/>
  <c r="G229" i="5"/>
  <c r="G165" i="5"/>
  <c r="G170" i="5"/>
  <c r="F197" i="5"/>
  <c r="F245" i="5"/>
  <c r="G178" i="5"/>
  <c r="G247" i="5"/>
  <c r="F226" i="5"/>
  <c r="E205" i="5"/>
  <c r="G183" i="5"/>
  <c r="F162" i="5"/>
  <c r="E250" i="5"/>
  <c r="G228" i="5"/>
  <c r="E186" i="5"/>
  <c r="G164" i="5"/>
  <c r="F252" i="5"/>
  <c r="E231" i="5"/>
  <c r="G209" i="5"/>
  <c r="F188" i="5"/>
  <c r="E167" i="5"/>
  <c r="G230" i="5"/>
  <c r="E188" i="5"/>
  <c r="G251" i="5"/>
  <c r="G187" i="5"/>
  <c r="F251" i="5"/>
  <c r="G208" i="5"/>
  <c r="G253" i="5"/>
  <c r="E211" i="5"/>
  <c r="F168" i="5"/>
  <c r="E245" i="5"/>
  <c r="F208" i="5"/>
  <c r="F173" i="5"/>
  <c r="E240" i="5"/>
  <c r="F221" i="5"/>
  <c r="F165" i="5"/>
  <c r="F242" i="5"/>
  <c r="E221" i="5"/>
  <c r="G199" i="5"/>
  <c r="F178" i="5"/>
  <c r="E157" i="5"/>
  <c r="G244" i="5"/>
  <c r="F223" i="5"/>
  <c r="E202" i="5"/>
  <c r="G180" i="5"/>
  <c r="F159" i="5"/>
  <c r="E247" i="5"/>
  <c r="G225" i="5"/>
  <c r="F204" i="5"/>
  <c r="E183" i="5"/>
  <c r="G161" i="5"/>
  <c r="G246" i="5"/>
  <c r="F225" i="5"/>
  <c r="E204" i="5"/>
  <c r="G182" i="5"/>
  <c r="F161" i="5"/>
  <c r="F246" i="5"/>
  <c r="E225" i="5"/>
  <c r="G203" i="5"/>
  <c r="F182" i="5"/>
  <c r="E161" i="5"/>
  <c r="E246" i="5"/>
  <c r="G224" i="5"/>
  <c r="F203" i="5"/>
  <c r="E182" i="5"/>
  <c r="G160" i="5"/>
  <c r="F248" i="5"/>
  <c r="E227" i="5"/>
  <c r="G205" i="5"/>
  <c r="F184" i="5"/>
  <c r="E163" i="5"/>
  <c r="E168" i="5"/>
  <c r="E192" i="5"/>
  <c r="G194" i="5"/>
  <c r="E200" i="5"/>
  <c r="G162" i="5"/>
  <c r="G186" i="5"/>
  <c r="G239" i="5"/>
  <c r="F218" i="5"/>
  <c r="E197" i="5"/>
  <c r="G175" i="5"/>
  <c r="F154" i="5"/>
  <c r="E242" i="5"/>
  <c r="G220" i="5"/>
  <c r="F199" i="5"/>
  <c r="E178" i="5"/>
  <c r="G156" i="5"/>
  <c r="F244" i="5"/>
  <c r="E223" i="5"/>
  <c r="G201" i="5"/>
  <c r="F180" i="5"/>
  <c r="E159" i="5"/>
  <c r="E244" i="5"/>
  <c r="G222" i="5"/>
  <c r="F201" i="5"/>
  <c r="E180" i="5"/>
  <c r="G158" i="5"/>
  <c r="G243" i="5"/>
  <c r="F222" i="5"/>
  <c r="E201" i="5"/>
  <c r="G179" i="5"/>
  <c r="F158" i="5"/>
  <c r="F243" i="5"/>
  <c r="E222" i="5"/>
  <c r="G200" i="5"/>
  <c r="F179" i="5"/>
  <c r="E158" i="5"/>
  <c r="G245" i="5"/>
  <c r="F224" i="5"/>
  <c r="E203" i="5"/>
  <c r="G181" i="5"/>
  <c r="F160" i="5"/>
  <c r="F189" i="5"/>
  <c r="F109" i="5"/>
  <c r="E98" i="5"/>
  <c r="F110" i="5"/>
  <c r="E129" i="5"/>
  <c r="F93" i="5"/>
  <c r="E135" i="5"/>
  <c r="G104" i="5"/>
  <c r="G95" i="5"/>
  <c r="E108" i="5"/>
  <c r="E123" i="5"/>
  <c r="E128" i="5"/>
  <c r="G129" i="5"/>
  <c r="E142" i="5"/>
  <c r="G98" i="5"/>
  <c r="E127" i="5"/>
  <c r="F139" i="5"/>
  <c r="E109" i="5"/>
  <c r="F121" i="5"/>
  <c r="E113" i="5"/>
  <c r="F100" i="5"/>
  <c r="G112" i="5"/>
  <c r="F101" i="5"/>
  <c r="F137" i="5"/>
  <c r="G57" i="5"/>
  <c r="E15" i="5"/>
  <c r="G75" i="5"/>
  <c r="G20" i="5"/>
  <c r="E70" i="5"/>
  <c r="E61" i="5"/>
  <c r="F64" i="5"/>
  <c r="E81" i="5"/>
  <c r="E64" i="5"/>
  <c r="G79" i="5"/>
  <c r="E83" i="5"/>
  <c r="G33" i="5"/>
  <c r="F75" i="5"/>
  <c r="F84" i="5"/>
  <c r="G34" i="5"/>
  <c r="G30" i="5"/>
  <c r="F60" i="5"/>
  <c r="E65" i="5"/>
  <c r="G42" i="5"/>
  <c r="G38" i="5"/>
  <c r="G66" i="5"/>
  <c r="E41" i="5"/>
  <c r="E32" i="5"/>
  <c r="F52" i="5"/>
  <c r="F76" i="5"/>
  <c r="E42" i="5"/>
  <c r="E78" i="5"/>
  <c r="G48" i="5"/>
  <c r="E47" i="5"/>
  <c r="E112" i="5"/>
  <c r="G137" i="5"/>
  <c r="E89" i="5"/>
  <c r="E126" i="5"/>
  <c r="E144" i="5"/>
  <c r="G113" i="5"/>
  <c r="F125" i="5"/>
  <c r="F135" i="5"/>
  <c r="G86" i="5"/>
  <c r="G101" i="5"/>
  <c r="G138" i="5"/>
  <c r="F108" i="5"/>
  <c r="G120" i="5"/>
  <c r="G114" i="5"/>
  <c r="G105" i="5"/>
  <c r="E118" i="5"/>
  <c r="G87" i="5"/>
  <c r="E100" i="5"/>
  <c r="F141" i="5"/>
  <c r="E140" i="5"/>
  <c r="F91" i="5"/>
  <c r="E125" i="5"/>
  <c r="E116" i="5"/>
  <c r="G21" i="5"/>
  <c r="G40" i="5"/>
  <c r="F54" i="5"/>
  <c r="G18" i="5"/>
  <c r="E25" i="5"/>
  <c r="F79" i="5"/>
  <c r="E43" i="5"/>
  <c r="G32" i="5"/>
  <c r="G80" i="5"/>
  <c r="F58" i="5"/>
  <c r="G61" i="5"/>
  <c r="G73" i="5"/>
  <c r="E23" i="5"/>
  <c r="G67" i="5"/>
  <c r="E71" i="5"/>
  <c r="E38" i="5"/>
  <c r="G25" i="5"/>
  <c r="G43" i="5"/>
  <c r="E17" i="5"/>
  <c r="E80" i="5"/>
  <c r="G71" i="5"/>
  <c r="E75" i="5"/>
  <c r="E66" i="5"/>
  <c r="E19" i="5"/>
  <c r="F17" i="5"/>
  <c r="F78" i="5"/>
  <c r="F51" i="5"/>
  <c r="E79" i="5"/>
  <c r="G77" i="5"/>
  <c r="G14" i="5"/>
  <c r="E57" i="5"/>
  <c r="F43" i="5"/>
  <c r="G122" i="5"/>
  <c r="F116" i="5"/>
  <c r="G128" i="5"/>
  <c r="G125" i="5"/>
  <c r="E141" i="5"/>
  <c r="F92" i="5"/>
  <c r="E131" i="5"/>
  <c r="E114" i="5"/>
  <c r="F126" i="5"/>
  <c r="G139" i="5"/>
  <c r="G135" i="5"/>
  <c r="E87" i="5"/>
  <c r="F99" i="5"/>
  <c r="E133" i="5"/>
  <c r="F145" i="5"/>
  <c r="G96" i="5"/>
  <c r="F127" i="5"/>
  <c r="F118" i="5"/>
  <c r="G127" i="5"/>
  <c r="G118" i="5"/>
  <c r="G133" i="5"/>
  <c r="G103" i="5"/>
  <c r="G94" i="5"/>
  <c r="F53" i="5"/>
  <c r="F83" i="5"/>
  <c r="E33" i="5"/>
  <c r="G23" i="5"/>
  <c r="E60" i="5"/>
  <c r="E58" i="5"/>
  <c r="E18" i="5"/>
  <c r="F37" i="5"/>
  <c r="G27" i="5"/>
  <c r="G76" i="5"/>
  <c r="F16" i="5"/>
  <c r="E30" i="5"/>
  <c r="E56" i="5"/>
  <c r="F46" i="5"/>
  <c r="E72" i="5"/>
  <c r="F61" i="5"/>
  <c r="G53" i="5"/>
  <c r="E44" i="5"/>
  <c r="G143" i="5"/>
  <c r="E95" i="5"/>
  <c r="F107" i="5"/>
  <c r="F104" i="5"/>
  <c r="G119" i="5"/>
  <c r="E132" i="5"/>
  <c r="F88" i="5"/>
  <c r="G92" i="5"/>
  <c r="E105" i="5"/>
  <c r="E94" i="5"/>
  <c r="F114" i="5"/>
  <c r="G126" i="5"/>
  <c r="G141" i="5"/>
  <c r="G111" i="5"/>
  <c r="E124" i="5"/>
  <c r="E139" i="5"/>
  <c r="E106" i="5"/>
  <c r="E97" i="5"/>
  <c r="F106" i="5"/>
  <c r="F97" i="5"/>
  <c r="F112" i="5"/>
  <c r="F143" i="5"/>
  <c r="E110" i="5"/>
  <c r="E54" i="5"/>
  <c r="E85" i="5"/>
  <c r="E67" i="5"/>
  <c r="G62" i="5"/>
  <c r="F44" i="5"/>
  <c r="G36" i="5"/>
  <c r="E46" i="5"/>
  <c r="G15" i="5"/>
  <c r="F65" i="5"/>
  <c r="F55" i="5"/>
  <c r="E51" i="5"/>
  <c r="F69" i="5"/>
  <c r="E77" i="5"/>
  <c r="F80" i="5"/>
  <c r="F72" i="5"/>
  <c r="F34" i="5"/>
  <c r="F74" i="5"/>
  <c r="F56" i="5"/>
  <c r="G29" i="5"/>
  <c r="F122" i="5"/>
  <c r="G134" i="5"/>
  <c r="E86" i="5"/>
  <c r="G88" i="5"/>
  <c r="F98" i="5"/>
  <c r="G110" i="5"/>
  <c r="G106" i="5"/>
  <c r="F132" i="5"/>
  <c r="G144" i="5"/>
  <c r="F136" i="5"/>
  <c r="E93" i="5"/>
  <c r="F105" i="5"/>
  <c r="F120" i="5"/>
  <c r="F90" i="5"/>
  <c r="G102" i="5"/>
  <c r="G117" i="5"/>
  <c r="G145" i="5"/>
  <c r="G136" i="5"/>
  <c r="G124" i="5"/>
  <c r="E137" i="5"/>
  <c r="E91" i="5"/>
  <c r="E122" i="5"/>
  <c r="E21" i="5"/>
  <c r="F22" i="5"/>
  <c r="G63" i="5"/>
  <c r="G45" i="5"/>
  <c r="G26" i="5"/>
  <c r="E39" i="5"/>
  <c r="E73" i="5"/>
  <c r="F14" i="5"/>
  <c r="H14" i="5" s="1"/>
  <c r="G41" i="5"/>
  <c r="G49" i="5"/>
  <c r="E34" i="5"/>
  <c r="G78" i="5"/>
  <c r="E31" i="5"/>
  <c r="G55" i="5"/>
  <c r="E59" i="5"/>
  <c r="G72" i="5"/>
  <c r="G74" i="5"/>
  <c r="E53" i="5"/>
  <c r="E35" i="5"/>
  <c r="F57" i="5"/>
  <c r="F81" i="5"/>
  <c r="F47" i="5"/>
  <c r="G28" i="5"/>
  <c r="G46" i="5"/>
  <c r="G19" i="5"/>
  <c r="F66" i="5"/>
  <c r="G69" i="5"/>
  <c r="F38" i="5"/>
  <c r="G64" i="5"/>
  <c r="F63" i="5"/>
  <c r="E48" i="5"/>
  <c r="F32" i="5"/>
  <c r="E101" i="5"/>
  <c r="F113" i="5"/>
  <c r="F128" i="5"/>
  <c r="G130" i="5"/>
  <c r="E138" i="5"/>
  <c r="F89" i="5"/>
  <c r="F117" i="5"/>
  <c r="E111" i="5"/>
  <c r="F123" i="5"/>
  <c r="F134" i="5"/>
  <c r="G132" i="5"/>
  <c r="E145" i="5"/>
  <c r="E99" i="5"/>
  <c r="E130" i="5"/>
  <c r="F142" i="5"/>
  <c r="F96" i="5"/>
  <c r="F124" i="5"/>
  <c r="F115" i="5"/>
  <c r="F103" i="5"/>
  <c r="G115" i="5"/>
  <c r="E88" i="5"/>
  <c r="G100" i="5"/>
  <c r="E22" i="5"/>
  <c r="G54" i="5"/>
  <c r="E82" i="5"/>
  <c r="F15" i="5"/>
  <c r="E63" i="5"/>
  <c r="G17" i="5"/>
  <c r="G51" i="5"/>
  <c r="F40" i="5"/>
  <c r="F29" i="5"/>
  <c r="F59" i="5"/>
  <c r="F70" i="5"/>
  <c r="F26" i="5"/>
  <c r="G70" i="5"/>
  <c r="E74" i="5"/>
  <c r="G37" i="5"/>
  <c r="F85" i="5"/>
  <c r="F35" i="5"/>
  <c r="F71" i="5"/>
  <c r="E26" i="5"/>
  <c r="E68" i="5"/>
  <c r="E28" i="5"/>
  <c r="E14" i="5"/>
  <c r="F67" i="5"/>
  <c r="F73" i="5"/>
  <c r="F49" i="5"/>
  <c r="E45" i="5"/>
  <c r="F48" i="5"/>
  <c r="F18" i="5"/>
  <c r="G22" i="5"/>
  <c r="E37" i="5"/>
  <c r="F36" i="5"/>
  <c r="E69" i="5"/>
  <c r="F77" i="5"/>
  <c r="G140" i="5"/>
  <c r="E92" i="5"/>
  <c r="E107" i="5"/>
  <c r="F133" i="5"/>
  <c r="G116" i="5"/>
  <c r="G107" i="5"/>
  <c r="F138" i="5"/>
  <c r="G89" i="5"/>
  <c r="E102" i="5"/>
  <c r="G91" i="5"/>
  <c r="F111" i="5"/>
  <c r="G123" i="5"/>
  <c r="G93" i="5"/>
  <c r="G108" i="5"/>
  <c r="E121" i="5"/>
  <c r="E120" i="5"/>
  <c r="E103" i="5"/>
  <c r="E115" i="5"/>
  <c r="E143" i="5"/>
  <c r="F94" i="5"/>
  <c r="G90" i="5"/>
  <c r="F140" i="5"/>
  <c r="E29" i="5"/>
  <c r="E40" i="5"/>
  <c r="G60" i="5"/>
  <c r="F41" i="5"/>
  <c r="F24" i="5"/>
  <c r="F45" i="5"/>
  <c r="F30" i="5"/>
  <c r="G47" i="5"/>
  <c r="F68" i="5"/>
  <c r="F20" i="5"/>
  <c r="E49" i="5"/>
  <c r="G16" i="5"/>
  <c r="E20" i="5"/>
  <c r="G52" i="5"/>
  <c r="F23" i="5"/>
  <c r="E52" i="5"/>
  <c r="E76" i="5"/>
  <c r="E50" i="5"/>
  <c r="E62" i="5"/>
  <c r="F42" i="5"/>
  <c r="G65" i="5"/>
  <c r="G83" i="5"/>
  <c r="F33" i="5"/>
  <c r="G84" i="5"/>
  <c r="F50" i="5"/>
  <c r="G68" i="5"/>
  <c r="F119" i="5"/>
  <c r="G131" i="5"/>
  <c r="E104" i="5"/>
  <c r="E96" i="5"/>
  <c r="F95" i="5"/>
  <c r="F86" i="5"/>
  <c r="E117" i="5"/>
  <c r="F129" i="5"/>
  <c r="F144" i="5"/>
  <c r="G109" i="5"/>
  <c r="E90" i="5"/>
  <c r="F102" i="5"/>
  <c r="F131" i="5"/>
  <c r="F87" i="5"/>
  <c r="G99" i="5"/>
  <c r="F130" i="5"/>
  <c r="G142" i="5"/>
  <c r="G97" i="5"/>
  <c r="G121" i="5"/>
  <c r="E134" i="5"/>
  <c r="E136" i="5"/>
  <c r="E119" i="5"/>
  <c r="E24" i="5"/>
  <c r="G82" i="5"/>
  <c r="F39" i="5"/>
  <c r="E84" i="5"/>
  <c r="G58" i="5"/>
  <c r="F82" i="5"/>
  <c r="G85" i="5"/>
  <c r="G44" i="5"/>
  <c r="E27" i="5"/>
  <c r="G50" i="5"/>
  <c r="G4" i="5"/>
  <c r="G8" i="5" s="1"/>
  <c r="F19" i="5"/>
  <c r="E55" i="5"/>
  <c r="F31" i="5"/>
  <c r="G56" i="5"/>
  <c r="F27" i="5"/>
  <c r="F25" i="5"/>
  <c r="G81" i="5"/>
  <c r="G24" i="5"/>
  <c r="E16" i="5"/>
  <c r="F28" i="5"/>
  <c r="F62" i="5"/>
  <c r="G31" i="5"/>
  <c r="F21" i="5"/>
  <c r="E36" i="5"/>
  <c r="G59" i="5"/>
  <c r="G39" i="5"/>
  <c r="G35" i="5"/>
  <c r="H51" i="2"/>
  <c r="H52" i="2"/>
  <c r="H53" i="2"/>
  <c r="H50" i="2"/>
  <c r="H47" i="2"/>
  <c r="H46" i="2"/>
  <c r="H45" i="2"/>
  <c r="H48" i="2"/>
  <c r="H41" i="2"/>
  <c r="H49" i="2"/>
  <c r="H44" i="2"/>
  <c r="H42" i="2"/>
  <c r="H43" i="2"/>
  <c r="H38" i="2"/>
  <c r="H36" i="2"/>
  <c r="H40" i="2"/>
  <c r="H37" i="2"/>
  <c r="H39" i="2"/>
  <c r="H35" i="2"/>
  <c r="H15" i="5" l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J4" i="5"/>
  <c r="J6" i="5" l="1"/>
  <c r="J8" i="5" s="1"/>
</calcChain>
</file>

<file path=xl/sharedStrings.xml><?xml version="1.0" encoding="utf-8"?>
<sst xmlns="http://schemas.openxmlformats.org/spreadsheetml/2006/main" count="449" uniqueCount="284">
  <si>
    <t>TMP</t>
  </si>
  <si>
    <t>Principle</t>
  </si>
  <si>
    <t>Interest</t>
  </si>
  <si>
    <t>Commulative interest</t>
  </si>
  <si>
    <t>Ammortization</t>
  </si>
  <si>
    <t>Month</t>
  </si>
  <si>
    <t>Insurance</t>
  </si>
  <si>
    <t>EMI</t>
  </si>
  <si>
    <t>Total cost</t>
  </si>
  <si>
    <t>Equity</t>
  </si>
  <si>
    <t>Finacing amount</t>
  </si>
  <si>
    <t>Rate</t>
  </si>
  <si>
    <t>Tenure</t>
  </si>
  <si>
    <t>Downpayment</t>
  </si>
  <si>
    <t>Upfront insurance premium</t>
  </si>
  <si>
    <t>3rd yr</t>
  </si>
  <si>
    <t xml:space="preserve">2nd yr </t>
  </si>
  <si>
    <t>4th yr</t>
  </si>
  <si>
    <t>5th yr</t>
  </si>
  <si>
    <t>6th yr</t>
  </si>
  <si>
    <t>7th yr</t>
  </si>
  <si>
    <t>TCO</t>
  </si>
  <si>
    <t>Insurance Rate</t>
  </si>
  <si>
    <t>NAME OF CLIENT :</t>
  </si>
  <si>
    <t>MAKE :</t>
  </si>
  <si>
    <t xml:space="preserve">MODEL : </t>
  </si>
  <si>
    <t>EMI :</t>
  </si>
  <si>
    <t>INS INSTALLMENT :</t>
  </si>
  <si>
    <t>----&gt;</t>
  </si>
  <si>
    <t>TENURE (in Years):</t>
  </si>
  <si>
    <t xml:space="preserve">Year </t>
  </si>
  <si>
    <t>FINANCING %:</t>
  </si>
  <si>
    <t>Muhammad Yousaf</t>
  </si>
  <si>
    <t>TPL Insurance Ltd</t>
  </si>
  <si>
    <t>Used</t>
  </si>
  <si>
    <t>New</t>
  </si>
  <si>
    <t xml:space="preserve"> </t>
  </si>
  <si>
    <t>Sr No</t>
  </si>
  <si>
    <t>Manufacturer</t>
  </si>
  <si>
    <t>Model</t>
  </si>
  <si>
    <t>Make Model</t>
  </si>
  <si>
    <t xml:space="preserve">Vehicle Price </t>
  </si>
  <si>
    <t>Allowable Financing Tenure - New / Unregistered Imported</t>
  </si>
  <si>
    <t>Allowable Financing Tenure - Used</t>
  </si>
  <si>
    <t>Al HAJ FAW MOTORS PRIVATE LIMITED</t>
  </si>
  <si>
    <t>Carrier</t>
  </si>
  <si>
    <t>FAW - Carrier</t>
  </si>
  <si>
    <t>Not Allowed</t>
  </si>
  <si>
    <t>X-PV</t>
  </si>
  <si>
    <t>FAW - X-PV</t>
  </si>
  <si>
    <t>V2</t>
  </si>
  <si>
    <t>FAW - V2</t>
  </si>
  <si>
    <t>HONDA ATLAS CARS PAKISTAN LIMITED</t>
  </si>
  <si>
    <t>ACCORD</t>
  </si>
  <si>
    <t>HONDA - ACCORD 1.5</t>
  </si>
  <si>
    <t>CITY</t>
  </si>
  <si>
    <t>HONDA - CITY M/T 1.3</t>
  </si>
  <si>
    <t>HONDA - CITY P/T 1.3</t>
  </si>
  <si>
    <t>HONDA - CITY M/T 1.5</t>
  </si>
  <si>
    <t>HONDA - CITY P/T 1.5</t>
  </si>
  <si>
    <t>HONDA - CITY M/T Aspire 1.5</t>
  </si>
  <si>
    <t>HONDA - CITY P/T Aspire 1.5</t>
  </si>
  <si>
    <t>CIVIC</t>
  </si>
  <si>
    <t>HONDA - CIVIC 1.5</t>
  </si>
  <si>
    <t>HONDA - CIVIC 1.8</t>
  </si>
  <si>
    <t>HONDA - CIVIC 1.8 (Oriel)</t>
  </si>
  <si>
    <t>CR-V</t>
  </si>
  <si>
    <t>HONDA - CR-V P/T 2.0</t>
  </si>
  <si>
    <t>BR-V</t>
  </si>
  <si>
    <t>HONDA - BR-V CVT</t>
  </si>
  <si>
    <t>HR-V</t>
  </si>
  <si>
    <t>HONDA - HR-V 1.5</t>
  </si>
  <si>
    <t>PAK SUZUKI MOTORS COMPANY LIMITED</t>
  </si>
  <si>
    <t>ALTO</t>
  </si>
  <si>
    <t>SUZUKI - ALTO VXL AGS</t>
  </si>
  <si>
    <t>SUZUKI - ALTO VXR</t>
  </si>
  <si>
    <t>SUZUKI - ALTO VXL</t>
  </si>
  <si>
    <t>APV</t>
  </si>
  <si>
    <t>SUZUKI - APV</t>
  </si>
  <si>
    <t>BOLAN</t>
  </si>
  <si>
    <t>SUZUKI - BOLAN</t>
  </si>
  <si>
    <t>CULTUS</t>
  </si>
  <si>
    <t>SUZUKI - CULTUS VXR</t>
  </si>
  <si>
    <t>SUZUKI - CULTUS VXL</t>
  </si>
  <si>
    <t>RAVI P.UP</t>
  </si>
  <si>
    <t>SUZUKI - RAVI P.UP</t>
  </si>
  <si>
    <t>SWIFT</t>
  </si>
  <si>
    <t>SUZUKI - SWIFT DLX</t>
  </si>
  <si>
    <t>SUZUKI - SWIFT A/T</t>
  </si>
  <si>
    <t>VITARA</t>
  </si>
  <si>
    <t>SUZUKI - VITARA GLX</t>
  </si>
  <si>
    <t>Wagon-R</t>
  </si>
  <si>
    <t>SUZUKI - Wagon-R VXR</t>
  </si>
  <si>
    <t>SUZUKI - Wagon-R VXL</t>
  </si>
  <si>
    <t>CIAZ</t>
  </si>
  <si>
    <t>SUZUKI - Ciaz M/T</t>
  </si>
  <si>
    <t>SUZUKI - Ciaz A/T</t>
  </si>
  <si>
    <t>INDUS MOTORS COMPANY LIMITED</t>
  </si>
  <si>
    <t>COROLLA ALTIS</t>
  </si>
  <si>
    <t>TOYOTA  - COROLLA ALTIS</t>
  </si>
  <si>
    <t>TOYOTA  - COROLLA ALTIS GRANDE</t>
  </si>
  <si>
    <t>FORTUNER</t>
  </si>
  <si>
    <t>TOYOTA  - FORTUNER</t>
  </si>
  <si>
    <t>MASTER MOTORS LIMITED</t>
  </si>
  <si>
    <t>Changan - M9</t>
  </si>
  <si>
    <t>Changan - Karvaan</t>
  </si>
  <si>
    <t>HILUX</t>
  </si>
  <si>
    <t>TOYOTA  - HILUX Revo E M/T</t>
  </si>
  <si>
    <t>TOYOTA  - HILUX Revo G M/T</t>
  </si>
  <si>
    <t>TOYOTA  - HILUX Revo G A/T</t>
  </si>
  <si>
    <t>TOYOTA  - HILUX Revo V A/T</t>
  </si>
  <si>
    <t>KIA LUCKY MOTORS PAKISTAN LIMITED</t>
  </si>
  <si>
    <t xml:space="preserve">Sportage FWD </t>
  </si>
  <si>
    <t>KIA - Sportage FWD</t>
  </si>
  <si>
    <t xml:space="preserve">Sportage AWD </t>
  </si>
  <si>
    <t>KIA - Sportage AWD</t>
  </si>
  <si>
    <t>Picanto M/T</t>
  </si>
  <si>
    <t>KIA Picanto M/T</t>
  </si>
  <si>
    <t>Picanto A/T</t>
  </si>
  <si>
    <t>KIA Picanto A/T</t>
  </si>
  <si>
    <t>TOYOTA  - FORTUNER DIESEL</t>
  </si>
  <si>
    <t>SUZUKI - CULTUS AGS</t>
  </si>
  <si>
    <t>FORTUNER G</t>
  </si>
  <si>
    <t>TOYOTA  - FORTUNER G</t>
  </si>
  <si>
    <t>HYUNDAI NISHAT MOTOR (Private) LIMITED</t>
  </si>
  <si>
    <t>Porter H-100</t>
  </si>
  <si>
    <t>Hyundai Porter H-100 High Deck</t>
  </si>
  <si>
    <t>Hyundai Porter H-100 Flat Deck</t>
  </si>
  <si>
    <t>Hyundai Porter H-100 Deckless</t>
  </si>
  <si>
    <t>SUZUKI - Wagon-R AGS</t>
  </si>
  <si>
    <t>Grand Carnival EX</t>
  </si>
  <si>
    <r>
      <t xml:space="preserve">KIA - Grand Carnival EX </t>
    </r>
    <r>
      <rPr>
        <sz val="10"/>
        <color rgb="FFFF0000"/>
        <rFont val="Calibri"/>
        <family val="2"/>
      </rPr>
      <t>(GLS)</t>
    </r>
  </si>
  <si>
    <t>Grand Carnival LX</t>
  </si>
  <si>
    <r>
      <t xml:space="preserve">KIA - Grand Carnival LX </t>
    </r>
    <r>
      <rPr>
        <sz val="10"/>
        <color rgb="FFFF0000"/>
        <rFont val="Calibri"/>
        <family val="2"/>
      </rPr>
      <t>(GLS+)</t>
    </r>
  </si>
  <si>
    <t>YARIS GLI M/T</t>
  </si>
  <si>
    <t>TOYOTA - YARIS GLI M/T</t>
  </si>
  <si>
    <t>YARIS GLI CVT</t>
  </si>
  <si>
    <t>TOYOTA - YARIS GLI CVT</t>
  </si>
  <si>
    <t>YARIS ATIV M/T</t>
  </si>
  <si>
    <t>TOYOTA - YARIS ATIV M/T</t>
  </si>
  <si>
    <t>YARIS ATIV CVT</t>
  </si>
  <si>
    <t>TOYOTA - YARIS ATIV CVT</t>
  </si>
  <si>
    <t>YARIS ATIV X M/T</t>
  </si>
  <si>
    <t>TOYOTA - YARIS ATIV X M/T</t>
  </si>
  <si>
    <t>YARIS ATIV X CVT</t>
  </si>
  <si>
    <t>TOYOTA - YARIS ATIV X CVT</t>
  </si>
  <si>
    <t>TUCSON FWD A/T GLS Sport</t>
  </si>
  <si>
    <t>HYUNDAI - TUCSON FWD A/T GLS Sport</t>
  </si>
  <si>
    <t>TUCSON AWD A/T Ultimate</t>
  </si>
  <si>
    <t>HYUNDAI - TUCSON AWD A/T Ultimate</t>
  </si>
  <si>
    <t>Sportage Alpha</t>
  </si>
  <si>
    <t>KIA - Sportage Alpha</t>
  </si>
  <si>
    <t>ALTO VX</t>
  </si>
  <si>
    <t>SUZUKI - ALTO VX</t>
  </si>
  <si>
    <t>Changan - M8</t>
  </si>
  <si>
    <t>MG JW Automobile Pakistan PVT LTD</t>
  </si>
  <si>
    <t>HS</t>
  </si>
  <si>
    <t>MG - HS</t>
  </si>
  <si>
    <t>Al HAJ AUTO MOTIVE PRIVATE LIMITED</t>
  </si>
  <si>
    <t>X70 Premium FWD - CKD</t>
  </si>
  <si>
    <t>PROTON - X70 Premium FWD - CKD</t>
  </si>
  <si>
    <t>X70 Premium AWD - CKD</t>
  </si>
  <si>
    <t>PROTON - X70 Premium AWD - CKD</t>
  </si>
  <si>
    <t>REGAL AUTOMOBILES INDUSTRIES</t>
  </si>
  <si>
    <t>GLORY 580  MT</t>
  </si>
  <si>
    <t>PRINCE - GLORY 580  MT</t>
  </si>
  <si>
    <t>GLORY 580  CVT Turbo</t>
  </si>
  <si>
    <t>PRINCE - GLORY 580  CVT Turbo</t>
  </si>
  <si>
    <t>GLORY 580  CVT</t>
  </si>
  <si>
    <t>PRINCE - GLORY 580  CVT</t>
  </si>
  <si>
    <t>GLORY 580  PRO</t>
  </si>
  <si>
    <t>PRINCE - GLORY 580  PRO</t>
  </si>
  <si>
    <t>PEARL</t>
  </si>
  <si>
    <t xml:space="preserve">PRINCE - PEARL </t>
  </si>
  <si>
    <t>SORENTO  FWD</t>
  </si>
  <si>
    <t>KIA - SORENTO  FWD</t>
  </si>
  <si>
    <t>SORENTO  AWD</t>
  </si>
  <si>
    <t>KIA - SORENTO  AWD</t>
  </si>
  <si>
    <t>SORENTO FWD</t>
  </si>
  <si>
    <t>KIA - SORENTO FWD</t>
  </si>
  <si>
    <t>ALSVIN DCT</t>
  </si>
  <si>
    <t>CHANGAN - ALSVIN DCT</t>
  </si>
  <si>
    <t>ALSVIN LUMIERE</t>
  </si>
  <si>
    <t>CHANGAN - ALSVIN LUMIERE</t>
  </si>
  <si>
    <t>ALSVIN  MT</t>
  </si>
  <si>
    <t>CHANGAN - ALSVIN  MT</t>
  </si>
  <si>
    <t>EFU General Insurance</t>
  </si>
  <si>
    <t>Adamjee Insurance Co</t>
  </si>
  <si>
    <t>Jubilee General Insurance</t>
  </si>
  <si>
    <t>UBL Insurer</t>
  </si>
  <si>
    <t>Insurance Co</t>
  </si>
  <si>
    <t>Base Rate</t>
  </si>
  <si>
    <t>With Tracker</t>
  </si>
  <si>
    <t>VAS with Tracker</t>
  </si>
  <si>
    <t>VAS without Tracker</t>
  </si>
  <si>
    <t>NA</t>
  </si>
  <si>
    <t>Yes</t>
  </si>
  <si>
    <t>No</t>
  </si>
  <si>
    <t>KIBOR</t>
  </si>
  <si>
    <t>Adamjee With Tracker</t>
  </si>
  <si>
    <t>EFU With Tracker</t>
  </si>
  <si>
    <t>Jubilee With Tracker</t>
  </si>
  <si>
    <t>UBL With Tracker</t>
  </si>
  <si>
    <t>Adamjee With Tracker With Addon (VAS*)</t>
  </si>
  <si>
    <t>EFU With Tracker With Addon (VAS*)</t>
  </si>
  <si>
    <t>Jubilee With Tracker With Addon (VAS*)</t>
  </si>
  <si>
    <t>UBL With Tracker With Addon (VAS*)</t>
  </si>
  <si>
    <t>INSURANCE COMPANY</t>
  </si>
  <si>
    <t>WITH TRACKER</t>
  </si>
  <si>
    <t>WITH VALUE ADDED SERVICE(S) - ADD-Ons</t>
  </si>
  <si>
    <t>INSURANCE RATE</t>
  </si>
  <si>
    <t>INSURANCE 
OPTIONS</t>
  </si>
  <si>
    <t>PROCESSING FEES :</t>
  </si>
  <si>
    <t>1st YEAR INSURANCE :</t>
  </si>
  <si>
    <t>TENTATIVE MONTHLY PAYMENT SCHEDULE</t>
  </si>
  <si>
    <t>EQUAL MONTHLY INSTALLMENT</t>
  </si>
  <si>
    <t>INSURED AMOUNT (PKR):</t>
  </si>
  <si>
    <t>Adamjee W/o Tracker</t>
  </si>
  <si>
    <t>EFU W/o Tracker</t>
  </si>
  <si>
    <t>Jubilee W/o Tracker</t>
  </si>
  <si>
    <t>UBL W/o Tracker</t>
  </si>
  <si>
    <t>Adamjee W/o Tracker With Addon (VAS*)</t>
  </si>
  <si>
    <t>EFU W/o Tracker With Addon (VAS*)</t>
  </si>
  <si>
    <t>Jubilee W/o Tracker With Addon (VAS*)</t>
  </si>
  <si>
    <t>UBL W/o Tracker With Addon (VAS*)</t>
  </si>
  <si>
    <t>Without Tracker</t>
  </si>
  <si>
    <t>Insurance Company</t>
  </si>
  <si>
    <t>Value-Added Service(s)</t>
  </si>
  <si>
    <t>Details</t>
  </si>
  <si>
    <t>Adamjee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</si>
  <si>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Road Accidental Death Cover for loan borrower of sum insured of vehicle or PKR 2.5 Million whichever is less.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</si>
  <si>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Health Insurance plan of 20% of Vehicle’s Sum Insured or PKR 500,000 whichever is less. (Applicable for Age limit not more than 60 years)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</si>
  <si>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Online unlimited medical consultancy (Sehat Kahani) with Audio and Video call, both options for General Physician + Specialist. Facility available for loan borrower, Spouse and Kids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</si>
  <si>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Travel Insurance plan for loan borrower of USD 50,000 (Only applicable for Vehicle with sum insured above PKR. 2 Million).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</si>
  <si>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The loan will be settled up to the tune of PKR 2.5 Mn in case death of nominee.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</si>
  <si>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Hospitalization (Within Pakistan) of nominee based on provided policy cover.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</si>
  <si>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Online medical consultancy for nominee, its spouse and children.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</si>
  <si>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The nominee can avail travel insurance when traveling abroad from Pakistan.</t>
    </r>
  </si>
  <si>
    <t>EFU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</si>
  <si>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Personal accidental death coverage of PKR 2.5 million of the life of policy holder.</t>
    </r>
  </si>
  <si>
    <t>Jubilee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</si>
  <si>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Full outstanding financed amount to be paid by Jubilee General in the event of accidental death of Roshan Digital Account Holder, anywhere in the world.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</si>
  <si>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Free medical expense cover of up to PKR 1,000,000/- in case of hospitalization of Roshan Digital Account holder during the trip to Pakistan for 30 days.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</si>
  <si>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 xml:space="preserve">Rates are applicable up to vehicle value of PKR 10 Million.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</si>
  <si>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The outstanding loan will be settled upon death of RDA holder (not nominee)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</si>
  <si>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Arial"/>
        <family val="2"/>
      </rPr>
      <t>Hospitalization in Pakistan only of RDA holder.</t>
    </r>
  </si>
  <si>
    <t>Exclusive Rates (p.a.)Exclusive Rates (p.a.)</t>
  </si>
  <si>
    <t>Exclusive Rates (p.a.) with Add-ons</t>
  </si>
  <si>
    <t xml:space="preserve">EFU </t>
  </si>
  <si>
    <t>PRODUCT TYPE</t>
  </si>
  <si>
    <t>INTEREST RATE</t>
  </si>
  <si>
    <t>Fixed</t>
  </si>
  <si>
    <t>Floating</t>
  </si>
  <si>
    <t>ROSHAN APNA GHAR LOAN CALCULATION SHEET</t>
  </si>
  <si>
    <t>PRODUCT TYPE:</t>
  </si>
  <si>
    <t>Buyer</t>
  </si>
  <si>
    <t>Builder (Construction)</t>
  </si>
  <si>
    <t>Land Purchase and Construction</t>
  </si>
  <si>
    <t>Renovation</t>
  </si>
  <si>
    <t>ENTER PROPERTY PRICE (PKR):</t>
  </si>
  <si>
    <t>LOAN TO VALUE (LTV) % :</t>
  </si>
  <si>
    <t xml:space="preserve">CUSTOMER CONTRIBUTION : </t>
  </si>
  <si>
    <t>BANK FINANCING :</t>
  </si>
  <si>
    <t>PMT BASED AMORTIZATION TABLE</t>
  </si>
  <si>
    <t>Sr</t>
  </si>
  <si>
    <t>Due Date</t>
  </si>
  <si>
    <t>Principal</t>
  </si>
  <si>
    <t>Mark-Up</t>
  </si>
  <si>
    <t>Principal O/S</t>
  </si>
  <si>
    <t>Disbursement Date</t>
  </si>
  <si>
    <t>Loan Amount</t>
  </si>
  <si>
    <t>PMT EMI</t>
  </si>
  <si>
    <t>PMT Mark-Up</t>
  </si>
  <si>
    <t>T-24 EMI</t>
  </si>
  <si>
    <t>T-24 Mark-Up</t>
  </si>
  <si>
    <t>APR</t>
  </si>
  <si>
    <t>Variance</t>
  </si>
  <si>
    <t>Product type</t>
  </si>
  <si>
    <t>FED ON PROCESSING FEE:</t>
  </si>
  <si>
    <t>TOTAL</t>
  </si>
  <si>
    <t>Fixed - Lien Product</t>
  </si>
  <si>
    <t>Floating - Lien Product</t>
  </si>
  <si>
    <t>Floating - Non Lien Product</t>
  </si>
  <si>
    <t>Fixed - Non Lien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</si>
</sst>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  <numFmt numFmtId="167" formatCode="0.00000"/>
    <numFmt numFmtId="168" formatCode="[$-409]d\-mmm\-yy;@"/>
    <numFmt numFmtId="169" formatCode="0.0000%"/>
    <numFmt numFmtId="170" formatCode="0.00_ ;\-0.00\ "/>
    <numFmt numFmtId="171" formatCode="0_ ;\-0\ "/>
    <numFmt numFmtId="172" formatCode="[$-409]dd\-mmm\-yy;@"/>
    <numFmt numFmtId="173" formatCode="#,##0;[Red]#,##0"/>
    <numFmt numFmtId="174" formatCode="#,##0_ ;\-#,##0\ "/>
    <numFmt numFmtId="175" formatCode="dd/mm/yy;@"/>
    <numFmt numFmtId="176" formatCode="#,##0.000000000000000_ ;\-#,##0.000000000000000\ "/>
    <numFmt numFmtId="177" formatCode="#,##0.00000000000000_ ;\-#,##0.00000000000000\ "/>
    <numFmt numFmtId="178" formatCode="#,##0.00000000000000;[Red]#,##0.00000000000000"/>
    <numFmt numFmtId="179" formatCode="0.0%"/>
    <numFmt numFmtId="180" formatCode="0.00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8"/>
      <color indexed="12"/>
      <name val="Comic Sans MS"/>
      <family val="4"/>
    </font>
    <font>
      <b/>
      <sz val="10"/>
      <name val="Wingdings 2"/>
      <family val="1"/>
      <charset val="2"/>
    </font>
    <font>
      <sz val="10"/>
      <name val="Arial"/>
      <family val="2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sz val="10"/>
      <color theme="0"/>
      <name val="Comic Sans MS"/>
      <family val="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5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omic Sans MS"/>
      <family val="4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Arial"/>
      <family val="2"/>
    </font>
    <font>
      <sz val="8"/>
      <name val="Symbol"/>
      <family val="1"/>
      <charset val="2"/>
    </font>
    <font>
      <sz val="7"/>
      <name val="Times New Roman"/>
      <family val="1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theme="3" tint="0.59996337778862885"/>
      </left>
      <right/>
      <top style="double">
        <color theme="3" tint="0.59996337778862885"/>
      </top>
      <bottom style="double">
        <color theme="3" tint="0.59996337778862885"/>
      </bottom>
      <diagonal/>
    </border>
    <border>
      <left/>
      <right/>
      <top style="double">
        <color theme="3" tint="0.59996337778862885"/>
      </top>
      <bottom style="double">
        <color theme="3" tint="0.59996337778862885"/>
      </bottom>
      <diagonal/>
    </border>
    <border>
      <left style="double">
        <color theme="3" tint="0.59996337778862885"/>
      </left>
      <right style="hair">
        <color theme="3" tint="0.59996337778862885"/>
      </right>
      <top style="double">
        <color theme="3" tint="0.59996337778862885"/>
      </top>
      <bottom style="double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double">
        <color theme="3" tint="0.59996337778862885"/>
      </top>
      <bottom style="double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/>
      <bottom style="double">
        <color theme="3" tint="0.59996337778862885"/>
      </bottom>
      <diagonal/>
    </border>
    <border>
      <left style="dotted">
        <color theme="3" tint="0.39994506668294322"/>
      </left>
      <right style="dotted">
        <color theme="3" tint="0.39994506668294322"/>
      </right>
      <top/>
      <bottom style="dotted">
        <color theme="3" tint="0.39994506668294322"/>
      </bottom>
      <diagonal/>
    </border>
    <border>
      <left/>
      <right style="dotted">
        <color rgb="FF538DD5"/>
      </right>
      <top/>
      <bottom style="dotted">
        <color rgb="FF538DD5"/>
      </bottom>
      <diagonal/>
    </border>
    <border>
      <left/>
      <right style="dotted">
        <color rgb="FF8497B0"/>
      </right>
      <top/>
      <bottom style="dotted">
        <color rgb="FF8497B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2" tint="-0.24994659260841701"/>
      </bottom>
      <diagonal/>
    </border>
    <border>
      <left style="thick">
        <color theme="2" tint="-0.24994659260841701"/>
      </left>
      <right style="thin">
        <color theme="0" tint="-0.14996795556505021"/>
      </right>
      <top style="thick">
        <color theme="2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2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2" tint="-0.24994659260841701"/>
      </right>
      <top style="thick">
        <color theme="2" tint="-0.24994659260841701"/>
      </top>
      <bottom style="thin">
        <color theme="0" tint="-0.14996795556505021"/>
      </bottom>
      <diagonal/>
    </border>
    <border>
      <left style="thick">
        <color theme="2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2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2" tint="-0.24994659260841701"/>
      </left>
      <right style="thin">
        <color theme="0" tint="-0.149967955565050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ck">
        <color theme="2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ck">
        <color theme="2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0">
    <xf numFmtId="0" fontId="0" fillId="0" borderId="0" xfId="0"/>
    <xf numFmtId="6" fontId="0" fillId="0" borderId="0" xfId="1" applyNumberFormat="1" applyFont="1"/>
    <xf numFmtId="0" fontId="3" fillId="0" borderId="1" xfId="1" applyFont="1" applyBorder="1"/>
    <xf numFmtId="0" fontId="0" fillId="0" borderId="1" xfId="1" applyFont="1" applyBorder="1"/>
    <xf numFmtId="8" fontId="0" fillId="0" borderId="1" xfId="1" applyNumberFormat="1" applyFont="1" applyBorder="1"/>
    <xf numFmtId="0" fontId="3" fillId="0" borderId="1" xfId="1" applyFont="1" applyFill="1" applyBorder="1"/>
    <xf numFmtId="164" fontId="0" fillId="0" borderId="0" xfId="2" applyNumberFormat="1" applyFont="1"/>
    <xf numFmtId="164" fontId="3" fillId="0" borderId="1" xfId="2" applyNumberFormat="1" applyFont="1" applyFill="1" applyBorder="1"/>
    <xf numFmtId="164" fontId="0" fillId="0" borderId="1" xfId="2" applyNumberFormat="1" applyFont="1" applyBorder="1"/>
    <xf numFmtId="164" fontId="3" fillId="0" borderId="1" xfId="2" applyNumberFormat="1" applyFont="1" applyBorder="1"/>
    <xf numFmtId="9" fontId="0" fillId="0" borderId="1" xfId="2" applyNumberFormat="1" applyFont="1" applyBorder="1"/>
    <xf numFmtId="10" fontId="0" fillId="0" borderId="1" xfId="2" applyNumberFormat="1" applyFont="1" applyBorder="1"/>
    <xf numFmtId="164" fontId="0" fillId="0" borderId="0" xfId="1" applyNumberFormat="1" applyFont="1"/>
    <xf numFmtId="37" fontId="3" fillId="0" borderId="1" xfId="1" applyNumberFormat="1" applyFont="1" applyBorder="1"/>
    <xf numFmtId="37" fontId="0" fillId="0" borderId="1" xfId="1" applyNumberFormat="1" applyFont="1" applyBorder="1"/>
    <xf numFmtId="37" fontId="0" fillId="0" borderId="0" xfId="1" applyNumberFormat="1" applyFont="1"/>
    <xf numFmtId="37" fontId="3" fillId="0" borderId="1" xfId="1" applyNumberFormat="1" applyFont="1" applyFill="1" applyBorder="1"/>
    <xf numFmtId="10" fontId="3" fillId="0" borderId="1" xfId="1" applyNumberFormat="1" applyFont="1" applyBorder="1"/>
    <xf numFmtId="0" fontId="4" fillId="0" borderId="0" xfId="1" applyFont="1" applyProtection="1">
      <protection hidden="1"/>
    </xf>
    <xf numFmtId="0" fontId="4" fillId="0" borderId="0" xfId="1" applyFont="1" applyBorder="1" applyProtection="1">
      <protection hidden="1"/>
    </xf>
    <xf numFmtId="0" fontId="6" fillId="0" borderId="0" xfId="1" applyFont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166" fontId="0" fillId="0" borderId="0" xfId="1" applyNumberFormat="1" applyFont="1" applyBorder="1" applyProtection="1">
      <protection hidden="1"/>
    </xf>
    <xf numFmtId="0" fontId="0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10" fontId="5" fillId="0" borderId="0" xfId="1" applyNumberFormat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165" fontId="4" fillId="0" borderId="0" xfId="3" applyNumberFormat="1" applyFont="1" applyBorder="1" applyProtection="1">
      <protection hidden="1"/>
    </xf>
    <xf numFmtId="0" fontId="7" fillId="0" borderId="0" xfId="1" applyFont="1" applyProtection="1">
      <protection hidden="1"/>
    </xf>
    <xf numFmtId="0" fontId="9" fillId="2" borderId="0" xfId="1" applyFont="1" applyFill="1" applyProtection="1">
      <protection hidden="1"/>
    </xf>
    <xf numFmtId="9" fontId="10" fillId="2" borderId="0" xfId="1" applyNumberFormat="1" applyFont="1" applyFill="1" applyAlignment="1" applyProtection="1">
      <alignment horizontal="center"/>
      <protection hidden="1"/>
    </xf>
    <xf numFmtId="0" fontId="11" fillId="3" borderId="0" xfId="1" applyFont="1" applyFill="1" applyProtection="1">
      <protection hidden="1"/>
    </xf>
    <xf numFmtId="0" fontId="12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12" fillId="0" borderId="0" xfId="1" applyFont="1" applyBorder="1" applyProtection="1">
      <protection hidden="1"/>
    </xf>
    <xf numFmtId="0" fontId="12" fillId="0" borderId="0" xfId="1" applyFont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right"/>
      <protection hidden="1"/>
    </xf>
    <xf numFmtId="9" fontId="13" fillId="0" borderId="0" xfId="1" applyNumberFormat="1" applyFont="1" applyAlignment="1" applyProtection="1">
      <alignment horizontal="center"/>
      <protection hidden="1"/>
    </xf>
    <xf numFmtId="0" fontId="13" fillId="0" borderId="0" xfId="1" applyFont="1" applyBorder="1" applyProtection="1">
      <protection hidden="1"/>
    </xf>
    <xf numFmtId="0" fontId="13" fillId="0" borderId="0" xfId="1" applyFont="1" applyAlignment="1" applyProtection="1">
      <alignment horizontal="center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3" fontId="13" fillId="0" borderId="0" xfId="1" applyNumberFormat="1" applyFont="1" applyBorder="1" applyAlignment="1" applyProtection="1">
      <protection hidden="1"/>
    </xf>
    <xf numFmtId="10" fontId="12" fillId="0" borderId="0" xfId="1" applyNumberFormat="1" applyFont="1" applyBorder="1" applyProtection="1">
      <protection hidden="1"/>
    </xf>
    <xf numFmtId="9" fontId="12" fillId="0" borderId="0" xfId="1" applyNumberFormat="1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center"/>
      <protection hidden="1"/>
    </xf>
    <xf numFmtId="0" fontId="17" fillId="0" borderId="0" xfId="1" applyFont="1" applyBorder="1" applyAlignment="1" applyProtection="1">
      <alignment horizontal="center"/>
      <protection hidden="1"/>
    </xf>
    <xf numFmtId="168" fontId="14" fillId="3" borderId="0" xfId="1" applyNumberFormat="1" applyFont="1" applyFill="1" applyAlignment="1" applyProtection="1">
      <alignment horizontal="left"/>
      <protection hidden="1"/>
    </xf>
    <xf numFmtId="1" fontId="11" fillId="3" borderId="0" xfId="1" applyNumberFormat="1" applyFont="1" applyFill="1" applyProtection="1">
      <protection hidden="1"/>
    </xf>
    <xf numFmtId="1" fontId="4" fillId="0" borderId="0" xfId="1" applyNumberFormat="1" applyFont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10" fontId="1" fillId="0" borderId="0" xfId="1" applyNumberFormat="1" applyFont="1" applyBorder="1" applyAlignment="1" applyProtection="1">
      <alignment horizontal="center"/>
      <protection hidden="1"/>
    </xf>
    <xf numFmtId="0" fontId="20" fillId="6" borderId="5" xfId="5" applyFont="1" applyFill="1" applyBorder="1" applyAlignment="1"/>
    <xf numFmtId="0" fontId="20" fillId="6" borderId="6" xfId="5" applyFont="1" applyFill="1" applyBorder="1" applyAlignment="1"/>
    <xf numFmtId="164" fontId="20" fillId="6" borderId="6" xfId="2" applyNumberFormat="1" applyFont="1" applyFill="1" applyBorder="1" applyAlignment="1">
      <alignment horizontal="center" vertical="center"/>
    </xf>
    <xf numFmtId="0" fontId="20" fillId="6" borderId="6" xfId="5" applyFont="1" applyFill="1" applyBorder="1" applyAlignment="1">
      <alignment horizontal="center"/>
    </xf>
    <xf numFmtId="0" fontId="20" fillId="7" borderId="7" xfId="6" applyFont="1" applyFill="1" applyBorder="1" applyAlignment="1">
      <alignment horizontal="center" vertical="center" wrapText="1"/>
    </xf>
    <xf numFmtId="0" fontId="20" fillId="7" borderId="8" xfId="5" applyFont="1" applyFill="1" applyBorder="1" applyAlignment="1">
      <alignment horizontal="center" vertical="center" wrapText="1"/>
    </xf>
    <xf numFmtId="164" fontId="20" fillId="7" borderId="9" xfId="2" applyNumberFormat="1" applyFont="1" applyFill="1" applyBorder="1" applyAlignment="1">
      <alignment horizontal="center" vertical="center" wrapText="1"/>
    </xf>
    <xf numFmtId="0" fontId="21" fillId="7" borderId="9" xfId="5" applyFont="1" applyFill="1" applyBorder="1" applyAlignment="1">
      <alignment horizontal="center" vertical="center" wrapText="1"/>
    </xf>
    <xf numFmtId="0" fontId="20" fillId="7" borderId="9" xfId="5" applyFont="1" applyFill="1" applyBorder="1" applyAlignment="1">
      <alignment horizontal="center" vertical="center" wrapText="1"/>
    </xf>
    <xf numFmtId="0" fontId="22" fillId="3" borderId="10" xfId="6" applyFont="1" applyFill="1" applyBorder="1" applyAlignment="1">
      <alignment horizontal="center"/>
    </xf>
    <xf numFmtId="0" fontId="22" fillId="8" borderId="10" xfId="5" applyFont="1" applyFill="1" applyBorder="1" applyAlignment="1">
      <alignment horizontal="center"/>
    </xf>
    <xf numFmtId="0" fontId="22" fillId="3" borderId="10" xfId="5" applyFont="1" applyFill="1" applyBorder="1" applyAlignment="1">
      <alignment horizontal="center"/>
    </xf>
    <xf numFmtId="164" fontId="22" fillId="8" borderId="10" xfId="2" applyNumberFormat="1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/>
    </xf>
    <xf numFmtId="0" fontId="22" fillId="0" borderId="10" xfId="5" applyFont="1" applyFill="1" applyBorder="1" applyAlignment="1">
      <alignment horizontal="center"/>
    </xf>
    <xf numFmtId="164" fontId="22" fillId="0" borderId="10" xfId="2" applyNumberFormat="1" applyFont="1" applyFill="1" applyBorder="1" applyAlignment="1">
      <alignment horizontal="center" vertical="center"/>
    </xf>
    <xf numFmtId="164" fontId="22" fillId="3" borderId="10" xfId="2" applyNumberFormat="1" applyFont="1" applyFill="1" applyBorder="1" applyAlignment="1">
      <alignment horizontal="center" vertical="center"/>
    </xf>
    <xf numFmtId="9" fontId="22" fillId="9" borderId="10" xfId="6" applyNumberFormat="1" applyFont="1" applyFill="1" applyBorder="1" applyAlignment="1">
      <alignment horizontal="center"/>
    </xf>
    <xf numFmtId="0" fontId="22" fillId="9" borderId="10" xfId="6" applyFont="1" applyFill="1" applyBorder="1" applyAlignment="1">
      <alignment horizontal="center"/>
    </xf>
    <xf numFmtId="0" fontId="22" fillId="9" borderId="10" xfId="6" applyNumberFormat="1" applyFont="1" applyFill="1" applyBorder="1" applyAlignment="1">
      <alignment horizontal="center"/>
    </xf>
    <xf numFmtId="0" fontId="22" fillId="10" borderId="10" xfId="5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164" fontId="23" fillId="8" borderId="11" xfId="2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23" fillId="0" borderId="11" xfId="2" applyNumberFormat="1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164" fontId="23" fillId="11" borderId="0" xfId="2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5" fillId="0" borderId="0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0" fontId="0" fillId="0" borderId="0" xfId="0" applyNumberFormat="1"/>
    <xf numFmtId="0" fontId="1" fillId="0" borderId="0" xfId="0" applyFont="1"/>
    <xf numFmtId="0" fontId="11" fillId="0" borderId="0" xfId="1" applyFont="1" applyProtection="1">
      <protection hidden="1"/>
    </xf>
    <xf numFmtId="1" fontId="26" fillId="0" borderId="0" xfId="1" applyNumberFormat="1" applyFont="1" applyProtection="1">
      <protection hidden="1"/>
    </xf>
    <xf numFmtId="10" fontId="0" fillId="0" borderId="0" xfId="0" applyNumberFormat="1" applyAlignment="1">
      <alignment wrapText="1"/>
    </xf>
    <xf numFmtId="10" fontId="0" fillId="0" borderId="0" xfId="4" applyNumberFormat="1" applyFont="1"/>
    <xf numFmtId="37" fontId="14" fillId="0" borderId="0" xfId="1" applyNumberFormat="1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center"/>
      <protection hidden="1"/>
    </xf>
    <xf numFmtId="0" fontId="17" fillId="0" borderId="0" xfId="1" applyFont="1" applyBorder="1" applyAlignment="1" applyProtection="1">
      <alignment horizontal="center"/>
      <protection hidden="1"/>
    </xf>
    <xf numFmtId="0" fontId="17" fillId="0" borderId="0" xfId="1" applyFont="1" applyBorder="1" applyAlignment="1" applyProtection="1">
      <protection hidden="1"/>
    </xf>
    <xf numFmtId="0" fontId="12" fillId="5" borderId="14" xfId="1" applyFont="1" applyFill="1" applyBorder="1" applyProtection="1">
      <protection hidden="1"/>
    </xf>
    <xf numFmtId="0" fontId="4" fillId="0" borderId="17" xfId="1" applyFont="1" applyBorder="1" applyProtection="1"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31" fillId="0" borderId="19" xfId="0" applyFont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15" borderId="19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0" fontId="35" fillId="0" borderId="19" xfId="0" applyNumberFormat="1" applyFont="1" applyBorder="1" applyAlignment="1">
      <alignment horizontal="center" vertical="center" wrapText="1"/>
    </xf>
    <xf numFmtId="10" fontId="0" fillId="17" borderId="0" xfId="0" applyNumberFormat="1" applyFill="1"/>
    <xf numFmtId="10" fontId="18" fillId="3" borderId="13" xfId="1" applyNumberFormat="1" applyFont="1" applyFill="1" applyBorder="1" applyAlignment="1" applyProtection="1">
      <alignment horizontal="center" vertical="center"/>
      <protection hidden="1"/>
    </xf>
    <xf numFmtId="9" fontId="12" fillId="0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3" xfId="1" applyFont="1" applyFill="1" applyBorder="1" applyAlignment="1" applyProtection="1">
      <alignment horizontal="center" vertical="center" wrapText="1"/>
      <protection locked="0" hidden="1"/>
    </xf>
    <xf numFmtId="0" fontId="13" fillId="6" borderId="13" xfId="1" applyFont="1" applyFill="1" applyBorder="1" applyAlignment="1" applyProtection="1">
      <alignment horizontal="center" vertical="center"/>
      <protection hidden="1"/>
    </xf>
    <xf numFmtId="170" fontId="15" fillId="19" borderId="22" xfId="0" applyNumberFormat="1" applyFont="1" applyFill="1" applyBorder="1" applyAlignment="1">
      <alignment horizontal="center" vertical="center"/>
    </xf>
    <xf numFmtId="170" fontId="15" fillId="19" borderId="23" xfId="0" applyNumberFormat="1" applyFont="1" applyFill="1" applyBorder="1" applyAlignment="1">
      <alignment horizontal="center" vertical="center"/>
    </xf>
    <xf numFmtId="170" fontId="15" fillId="19" borderId="24" xfId="0" applyNumberFormat="1" applyFont="1" applyFill="1" applyBorder="1" applyAlignment="1">
      <alignment horizontal="center" vertical="center"/>
    </xf>
    <xf numFmtId="171" fontId="37" fillId="3" borderId="25" xfId="0" applyNumberFormat="1" applyFont="1" applyFill="1" applyBorder="1" applyAlignment="1">
      <alignment horizontal="center" vertical="center"/>
    </xf>
    <xf numFmtId="172" fontId="37" fillId="3" borderId="26" xfId="0" applyNumberFormat="1" applyFont="1" applyFill="1" applyBorder="1" applyAlignment="1">
      <alignment horizontal="center" vertical="center"/>
    </xf>
    <xf numFmtId="173" fontId="37" fillId="3" borderId="26" xfId="0" applyNumberFormat="1" applyFont="1" applyFill="1" applyBorder="1" applyAlignment="1">
      <alignment horizontal="center" vertical="center"/>
    </xf>
    <xf numFmtId="173" fontId="37" fillId="3" borderId="27" xfId="0" applyNumberFormat="1" applyFont="1" applyFill="1" applyBorder="1" applyAlignment="1">
      <alignment horizontal="center" vertical="center"/>
    </xf>
    <xf numFmtId="171" fontId="37" fillId="3" borderId="28" xfId="0" applyNumberFormat="1" applyFont="1" applyFill="1" applyBorder="1" applyAlignment="1">
      <alignment horizontal="center" vertical="center"/>
    </xf>
    <xf numFmtId="170" fontId="38" fillId="3" borderId="0" xfId="0" applyNumberFormat="1" applyFont="1" applyFill="1" applyAlignment="1">
      <alignment vertical="center"/>
    </xf>
    <xf numFmtId="170" fontId="38" fillId="3" borderId="29" xfId="0" applyNumberFormat="1" applyFont="1" applyFill="1" applyBorder="1" applyAlignment="1">
      <alignment vertical="center"/>
    </xf>
    <xf numFmtId="14" fontId="37" fillId="6" borderId="1" xfId="0" applyNumberFormat="1" applyFont="1" applyFill="1" applyBorder="1" applyAlignment="1">
      <alignment horizontal="center" vertical="center"/>
    </xf>
    <xf numFmtId="170" fontId="37" fillId="3" borderId="0" xfId="0" applyNumberFormat="1" applyFont="1" applyFill="1" applyAlignment="1">
      <alignment horizontal="center" vertical="center"/>
    </xf>
    <xf numFmtId="174" fontId="37" fillId="20" borderId="1" xfId="0" applyNumberFormat="1" applyFont="1" applyFill="1" applyBorder="1" applyAlignment="1">
      <alignment horizontal="center" vertical="center"/>
    </xf>
    <xf numFmtId="174" fontId="14" fillId="21" borderId="1" xfId="0" applyNumberFormat="1" applyFont="1" applyFill="1" applyBorder="1" applyAlignment="1">
      <alignment horizontal="center" vertical="center"/>
    </xf>
    <xf numFmtId="170" fontId="37" fillId="3" borderId="0" xfId="0" applyNumberFormat="1" applyFont="1" applyFill="1" applyAlignment="1">
      <alignment horizontal="right" vertical="center"/>
    </xf>
    <xf numFmtId="174" fontId="37" fillId="3" borderId="0" xfId="0" applyNumberFormat="1" applyFont="1" applyFill="1" applyBorder="1" applyAlignment="1">
      <alignment horizontal="right" vertical="center"/>
    </xf>
    <xf numFmtId="174" fontId="37" fillId="3" borderId="0" xfId="0" applyNumberFormat="1" applyFont="1" applyFill="1" applyAlignment="1">
      <alignment horizontal="center" vertical="center"/>
    </xf>
    <xf numFmtId="174" fontId="37" fillId="22" borderId="1" xfId="0" applyNumberFormat="1" applyFont="1" applyFill="1" applyBorder="1" applyAlignment="1">
      <alignment horizontal="center" vertical="center"/>
    </xf>
    <xf numFmtId="174" fontId="14" fillId="23" borderId="1" xfId="0" applyNumberFormat="1" applyFont="1" applyFill="1" applyBorder="1" applyAlignment="1">
      <alignment horizontal="center" vertical="center"/>
    </xf>
    <xf numFmtId="170" fontId="37" fillId="3" borderId="0" xfId="0" applyNumberFormat="1" applyFont="1" applyFill="1" applyBorder="1" applyAlignment="1">
      <alignment horizontal="right" vertical="center"/>
    </xf>
    <xf numFmtId="10" fontId="37" fillId="24" borderId="1" xfId="4" applyNumberFormat="1" applyFont="1" applyFill="1" applyBorder="1" applyAlignment="1">
      <alignment horizontal="center" vertical="center"/>
    </xf>
    <xf numFmtId="174" fontId="14" fillId="25" borderId="1" xfId="4" applyNumberFormat="1" applyFont="1" applyFill="1" applyBorder="1" applyAlignment="1">
      <alignment horizontal="center" vertical="center"/>
    </xf>
    <xf numFmtId="170" fontId="15" fillId="19" borderId="30" xfId="0" applyNumberFormat="1" applyFont="1" applyFill="1" applyBorder="1" applyAlignment="1">
      <alignment horizontal="center" vertical="center"/>
    </xf>
    <xf numFmtId="170" fontId="15" fillId="19" borderId="31" xfId="0" applyNumberFormat="1" applyFont="1" applyFill="1" applyBorder="1" applyAlignment="1">
      <alignment horizontal="center" vertical="center"/>
    </xf>
    <xf numFmtId="175" fontId="37" fillId="3" borderId="26" xfId="0" applyNumberFormat="1" applyFont="1" applyFill="1" applyBorder="1" applyAlignment="1">
      <alignment horizontal="center" vertical="center"/>
    </xf>
    <xf numFmtId="176" fontId="37" fillId="3" borderId="32" xfId="0" applyNumberFormat="1" applyFont="1" applyFill="1" applyBorder="1" applyAlignment="1">
      <alignment horizontal="center" vertical="center"/>
    </xf>
    <xf numFmtId="177" fontId="37" fillId="3" borderId="33" xfId="0" applyNumberFormat="1" applyFont="1" applyFill="1" applyBorder="1" applyAlignment="1">
      <alignment horizontal="center" vertical="center"/>
    </xf>
    <xf numFmtId="178" fontId="37" fillId="3" borderId="33" xfId="0" applyNumberFormat="1" applyFont="1" applyFill="1" applyBorder="1" applyAlignment="1">
      <alignment horizontal="center" vertical="center"/>
    </xf>
    <xf numFmtId="173" fontId="37" fillId="3" borderId="34" xfId="0" applyNumberFormat="1" applyFont="1" applyFill="1" applyBorder="1" applyAlignment="1">
      <alignment horizontal="center" vertical="center"/>
    </xf>
    <xf numFmtId="179" fontId="4" fillId="0" borderId="0" xfId="4" applyNumberFormat="1" applyFont="1" applyProtection="1">
      <protection hidden="1"/>
    </xf>
    <xf numFmtId="0" fontId="13" fillId="4" borderId="35" xfId="1" applyFont="1" applyFill="1" applyBorder="1" applyAlignment="1" applyProtection="1">
      <alignment horizontal="center" vertical="center"/>
      <protection hidden="1"/>
    </xf>
    <xf numFmtId="0" fontId="15" fillId="5" borderId="35" xfId="1" applyFont="1" applyFill="1" applyBorder="1" applyAlignment="1" applyProtection="1">
      <alignment vertical="center"/>
      <protection hidden="1"/>
    </xf>
    <xf numFmtId="0" fontId="14" fillId="5" borderId="35" xfId="1" applyFont="1" applyFill="1" applyBorder="1" applyAlignment="1" applyProtection="1">
      <alignment vertical="center"/>
      <protection hidden="1"/>
    </xf>
    <xf numFmtId="0" fontId="13" fillId="6" borderId="36" xfId="1" applyFont="1" applyFill="1" applyBorder="1" applyAlignment="1" applyProtection="1">
      <alignment horizontal="center" vertical="center"/>
      <protection hidden="1"/>
    </xf>
    <xf numFmtId="0" fontId="13" fillId="5" borderId="35" xfId="1" applyFont="1" applyFill="1" applyBorder="1" applyAlignment="1" applyProtection="1">
      <alignment horizontal="center" vertical="center"/>
      <protection hidden="1"/>
    </xf>
    <xf numFmtId="0" fontId="15" fillId="5" borderId="39" xfId="1" applyFont="1" applyFill="1" applyBorder="1" applyAlignment="1" applyProtection="1">
      <alignment vertical="center"/>
      <protection hidden="1"/>
    </xf>
    <xf numFmtId="0" fontId="14" fillId="5" borderId="39" xfId="1" applyFont="1" applyFill="1" applyBorder="1" applyAlignment="1" applyProtection="1">
      <alignment vertical="center"/>
      <protection hidden="1"/>
    </xf>
    <xf numFmtId="0" fontId="13" fillId="5" borderId="1" xfId="1" applyFont="1" applyFill="1" applyBorder="1" applyAlignment="1" applyProtection="1">
      <alignment vertical="center"/>
      <protection hidden="1"/>
    </xf>
    <xf numFmtId="0" fontId="14" fillId="3" borderId="1" xfId="1" applyFont="1" applyFill="1" applyBorder="1" applyProtection="1">
      <protection hidden="1"/>
    </xf>
    <xf numFmtId="0" fontId="15" fillId="3" borderId="1" xfId="1" quotePrefix="1" applyFont="1" applyFill="1" applyBorder="1" applyAlignment="1" applyProtection="1">
      <alignment horizontal="center"/>
      <protection hidden="1"/>
    </xf>
    <xf numFmtId="0" fontId="12" fillId="0" borderId="1" xfId="1" applyFont="1" applyBorder="1" applyProtection="1">
      <protection hidden="1"/>
    </xf>
    <xf numFmtId="0" fontId="13" fillId="0" borderId="1" xfId="1" applyFont="1" applyBorder="1" applyAlignment="1" applyProtection="1">
      <alignment horizontal="center"/>
      <protection hidden="1"/>
    </xf>
    <xf numFmtId="0" fontId="12" fillId="13" borderId="1" xfId="1" applyFont="1" applyFill="1" applyBorder="1" applyProtection="1">
      <protection hidden="1"/>
    </xf>
    <xf numFmtId="169" fontId="0" fillId="0" borderId="0" xfId="0" applyNumberFormat="1"/>
    <xf numFmtId="180" fontId="0" fillId="0" borderId="0" xfId="0" applyNumberFormat="1"/>
    <xf numFmtId="0" fontId="13" fillId="5" borderId="1" xfId="1" applyFont="1" applyFill="1" applyBorder="1" applyAlignment="1" applyProtection="1">
      <alignment horizontal="center" vertical="center"/>
      <protection hidden="1"/>
    </xf>
    <xf numFmtId="37" fontId="18" fillId="13" borderId="1" xfId="1" applyNumberFormat="1" applyFont="1" applyFill="1" applyBorder="1" applyAlignment="1" applyProtection="1">
      <alignment horizontal="center" vertical="center"/>
      <protection hidden="1"/>
    </xf>
    <xf numFmtId="0" fontId="12" fillId="5" borderId="2" xfId="1" applyFont="1" applyFill="1" applyBorder="1" applyAlignment="1" applyProtection="1">
      <alignment horizontal="center"/>
      <protection locked="0"/>
    </xf>
    <xf numFmtId="0" fontId="12" fillId="5" borderId="3" xfId="1" applyFont="1" applyFill="1" applyBorder="1" applyAlignment="1" applyProtection="1">
      <alignment horizontal="center"/>
      <protection locked="0"/>
    </xf>
    <xf numFmtId="0" fontId="12" fillId="5" borderId="4" xfId="1" applyFont="1" applyFill="1" applyBorder="1" applyAlignment="1" applyProtection="1">
      <alignment horizontal="center"/>
      <protection locked="0"/>
    </xf>
    <xf numFmtId="0" fontId="12" fillId="6" borderId="15" xfId="1" applyFont="1" applyFill="1" applyBorder="1" applyAlignment="1" applyProtection="1">
      <alignment horizontal="center" vertical="center"/>
      <protection hidden="1"/>
    </xf>
    <xf numFmtId="0" fontId="12" fillId="6" borderId="18" xfId="1" applyFont="1" applyFill="1" applyBorder="1" applyAlignment="1" applyProtection="1">
      <alignment horizontal="center" vertical="center"/>
      <protection hidden="1"/>
    </xf>
    <xf numFmtId="0" fontId="12" fillId="6" borderId="16" xfId="1" applyFont="1" applyFill="1" applyBorder="1" applyAlignment="1" applyProtection="1">
      <alignment horizontal="center" vertical="center"/>
      <protection hidden="1"/>
    </xf>
    <xf numFmtId="0" fontId="12" fillId="6" borderId="37" xfId="1" applyFont="1" applyFill="1" applyBorder="1" applyAlignment="1" applyProtection="1">
      <alignment horizontal="center" vertical="center"/>
      <protection locked="0" hidden="1"/>
    </xf>
    <xf numFmtId="0" fontId="12" fillId="6" borderId="20" xfId="1" applyFont="1" applyFill="1" applyBorder="1" applyAlignment="1" applyProtection="1">
      <alignment horizontal="center" vertical="center"/>
      <protection locked="0" hidden="1"/>
    </xf>
    <xf numFmtId="0" fontId="12" fillId="6" borderId="38" xfId="1" applyFont="1" applyFill="1" applyBorder="1" applyAlignment="1" applyProtection="1">
      <alignment horizontal="center" vertical="center"/>
      <protection locked="0" hidden="1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18" fillId="0" borderId="13" xfId="1" applyFont="1" applyFill="1" applyBorder="1" applyAlignment="1" applyProtection="1">
      <alignment horizontal="center" vertical="center"/>
      <protection hidden="1"/>
    </xf>
    <xf numFmtId="0" fontId="18" fillId="0" borderId="35" xfId="1" applyFont="1" applyFill="1" applyBorder="1" applyAlignment="1" applyProtection="1">
      <alignment horizontal="center" vertical="center"/>
      <protection locked="0" hidden="1"/>
    </xf>
    <xf numFmtId="0" fontId="39" fillId="0" borderId="35" xfId="1" applyFont="1" applyFill="1" applyBorder="1" applyAlignment="1" applyProtection="1">
      <alignment horizontal="center" vertical="center"/>
      <protection locked="0" hidden="1"/>
    </xf>
    <xf numFmtId="0" fontId="13" fillId="5" borderId="13" xfId="1" applyFont="1" applyFill="1" applyBorder="1" applyAlignment="1" applyProtection="1">
      <alignment horizontal="center" vertical="center"/>
      <protection hidden="1"/>
    </xf>
    <xf numFmtId="3" fontId="12" fillId="0" borderId="35" xfId="1" applyNumberFormat="1" applyFont="1" applyBorder="1" applyAlignment="1" applyProtection="1">
      <alignment horizontal="center" vertical="center"/>
      <protection hidden="1"/>
    </xf>
    <xf numFmtId="3" fontId="12" fillId="0" borderId="35" xfId="1" applyNumberFormat="1" applyFont="1" applyFill="1" applyBorder="1" applyAlignment="1" applyProtection="1">
      <alignment horizontal="center" vertical="center"/>
      <protection locked="0" hidden="1"/>
    </xf>
    <xf numFmtId="167" fontId="12" fillId="0" borderId="3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1" applyFont="1" applyFill="1" applyBorder="1" applyAlignment="1" applyProtection="1">
      <alignment horizontal="center" vertical="center"/>
      <protection locked="0" hidden="1"/>
    </xf>
    <xf numFmtId="0" fontId="13" fillId="5" borderId="35" xfId="1" applyFont="1" applyFill="1" applyBorder="1" applyAlignment="1" applyProtection="1">
      <alignment horizontal="center" vertical="center"/>
      <protection hidden="1"/>
    </xf>
    <xf numFmtId="0" fontId="12" fillId="0" borderId="35" xfId="1" applyFont="1" applyFill="1" applyBorder="1" applyAlignment="1" applyProtection="1">
      <alignment horizontal="center" vertical="center"/>
      <protection locked="0" hidden="1"/>
    </xf>
    <xf numFmtId="9" fontId="12" fillId="0" borderId="35" xfId="4" applyFont="1" applyFill="1" applyBorder="1" applyAlignment="1" applyProtection="1">
      <alignment horizontal="center" vertical="center"/>
      <protection locked="0" hidden="1"/>
    </xf>
    <xf numFmtId="9" fontId="12" fillId="0" borderId="35" xfId="4" applyFont="1" applyBorder="1" applyAlignment="1" applyProtection="1">
      <alignment horizontal="center" vertical="center"/>
      <protection hidden="1"/>
    </xf>
    <xf numFmtId="9" fontId="12" fillId="3" borderId="13" xfId="1" applyNumberFormat="1" applyFont="1" applyFill="1" applyBorder="1" applyAlignment="1" applyProtection="1">
      <alignment horizontal="center" vertical="center"/>
      <protection hidden="1"/>
    </xf>
    <xf numFmtId="169" fontId="15" fillId="0" borderId="0" xfId="1" applyNumberFormat="1" applyFont="1" applyFill="1" applyBorder="1" applyAlignment="1" applyProtection="1">
      <alignment horizontal="center"/>
      <protection hidden="1"/>
    </xf>
    <xf numFmtId="10" fontId="15" fillId="0" borderId="0" xfId="1" applyNumberFormat="1" applyFont="1" applyFill="1" applyBorder="1" applyAlignment="1" applyProtection="1">
      <alignment horizontal="center"/>
      <protection hidden="1"/>
    </xf>
    <xf numFmtId="37" fontId="27" fillId="0" borderId="0" xfId="2" applyNumberFormat="1" applyFont="1" applyBorder="1" applyAlignment="1" applyProtection="1">
      <alignment horizontal="center" vertical="center"/>
      <protection hidden="1"/>
    </xf>
    <xf numFmtId="0" fontId="13" fillId="5" borderId="35" xfId="1" applyFont="1" applyFill="1" applyBorder="1" applyAlignment="1" applyProtection="1">
      <alignment horizontal="center" vertical="center" wrapText="1"/>
      <protection hidden="1"/>
    </xf>
    <xf numFmtId="37" fontId="14" fillId="3" borderId="35" xfId="1" applyNumberFormat="1" applyFont="1" applyFill="1" applyBorder="1" applyAlignment="1" applyProtection="1">
      <alignment horizontal="center" vertical="center"/>
      <protection hidden="1"/>
    </xf>
    <xf numFmtId="3" fontId="15" fillId="5" borderId="39" xfId="1" applyNumberFormat="1" applyFont="1" applyFill="1" applyBorder="1" applyAlignment="1" applyProtection="1">
      <alignment vertical="center"/>
      <protection hidden="1"/>
    </xf>
    <xf numFmtId="3" fontId="12" fillId="13" borderId="1" xfId="1" applyNumberFormat="1" applyFont="1" applyFill="1" applyBorder="1" applyAlignment="1" applyProtection="1">
      <alignment horizontal="center" vertical="center"/>
      <protection hidden="1"/>
    </xf>
    <xf numFmtId="3" fontId="12" fillId="3" borderId="35" xfId="1" applyNumberFormat="1" applyFont="1" applyFill="1" applyBorder="1" applyAlignment="1" applyProtection="1">
      <alignment horizontal="center" vertical="center"/>
      <protection hidden="1"/>
    </xf>
    <xf numFmtId="37" fontId="12" fillId="13" borderId="1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10" fontId="18" fillId="13" borderId="1" xfId="4" applyNumberFormat="1" applyFont="1" applyFill="1" applyBorder="1" applyAlignment="1" applyProtection="1">
      <alignment horizontal="center" vertical="center"/>
      <protection locked="0" hidden="1"/>
    </xf>
    <xf numFmtId="37" fontId="14" fillId="0" borderId="39" xfId="1" applyNumberFormat="1" applyFont="1" applyBorder="1" applyAlignment="1" applyProtection="1">
      <alignment horizontal="center" vertical="center"/>
      <protection hidden="1"/>
    </xf>
    <xf numFmtId="37" fontId="13" fillId="0" borderId="0" xfId="1" applyNumberFormat="1" applyFont="1" applyBorder="1" applyAlignment="1" applyProtection="1">
      <alignment horizontal="center"/>
      <protection hidden="1"/>
    </xf>
    <xf numFmtId="0" fontId="28" fillId="12" borderId="35" xfId="1" applyFont="1" applyFill="1" applyBorder="1" applyAlignment="1" applyProtection="1">
      <alignment horizontal="center" vertical="center"/>
      <protection hidden="1"/>
    </xf>
    <xf numFmtId="0" fontId="13" fillId="4" borderId="35" xfId="1" applyFont="1" applyFill="1" applyBorder="1" applyAlignment="1" applyProtection="1">
      <alignment horizontal="center" vertical="center"/>
      <protection hidden="1"/>
    </xf>
    <xf numFmtId="0" fontId="29" fillId="0" borderId="0" xfId="1" applyFont="1" applyBorder="1" applyAlignment="1" applyProtection="1">
      <alignment horizontal="center"/>
      <protection hidden="1"/>
    </xf>
    <xf numFmtId="0" fontId="34" fillId="14" borderId="19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70" fontId="38" fillId="3" borderId="0" xfId="0" applyNumberFormat="1" applyFont="1" applyFill="1" applyBorder="1" applyAlignment="1">
      <alignment horizontal="right" vertical="center"/>
    </xf>
    <xf numFmtId="170" fontId="36" fillId="18" borderId="21" xfId="0" applyNumberFormat="1" applyFont="1" applyFill="1" applyBorder="1" applyAlignment="1">
      <alignment horizontal="center" vertical="center"/>
    </xf>
    <xf numFmtId="170" fontId="36" fillId="26" borderId="21" xfId="0" applyNumberFormat="1" applyFont="1" applyFill="1" applyBorder="1" applyAlignment="1">
      <alignment horizontal="center" vertical="center"/>
    </xf>
  </cellXfs>
  <cellStyles count="7">
    <cellStyle name="=C:\WINNT\SYSTEM32\COMMAND.COM" xfId="1"/>
    <cellStyle name="=C:\WINNT\SYSTEM32\COMMAND.COM 3" xfId="5"/>
    <cellStyle name="Comma" xfId="2" builtinId="3"/>
    <cellStyle name="Currency" xfId="3" builtinId="4"/>
    <cellStyle name="Normal" xfId="0" builtinId="0"/>
    <cellStyle name="Normal 7" xfId="6"/>
    <cellStyle name="Percent" xfId="4" builtinId="5"/>
  </cellStyles>
  <dxfs count="1">
    <dxf>
      <fill>
        <patternFill patternType="lightHorizontal"/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53298</xdr:rowOff>
    </xdr:from>
    <xdr:to>
      <xdr:col>3</xdr:col>
      <xdr:colOff>1000125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53298"/>
          <a:ext cx="733425" cy="79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A61"/>
  <sheetViews>
    <sheetView showGridLines="0" tabSelected="1" topLeftCell="B1" zoomScaleNormal="100" workbookViewId="0">
      <selection activeCell="E13" sqref="E13:L13"/>
    </sheetView>
  </sheetViews>
  <sheetFormatPr defaultColWidth="0" defaultRowHeight="15" zeroHeight="1" x14ac:dyDescent="0.3"/>
  <cols>
    <col min="1" max="1" width="3.140625" style="18" hidden="1" customWidth="1"/>
    <col min="2" max="2" width="9.140625" style="18" customWidth="1"/>
    <col min="3" max="3" width="8.85546875" style="18" hidden="1" customWidth="1"/>
    <col min="4" max="4" width="27.7109375" style="18" customWidth="1"/>
    <col min="5" max="5" width="7.140625" style="18" customWidth="1"/>
    <col min="6" max="6" width="6.85546875" style="18" customWidth="1"/>
    <col min="7" max="7" width="14.140625" style="18" customWidth="1"/>
    <col min="8" max="8" width="8.85546875" style="18" customWidth="1"/>
    <col min="9" max="9" width="6.85546875" style="18" customWidth="1"/>
    <col min="10" max="10" width="11" style="18" customWidth="1"/>
    <col min="11" max="11" width="8.42578125" style="18" customWidth="1"/>
    <col min="12" max="12" width="22.85546875" style="18" customWidth="1"/>
    <col min="13" max="13" width="3" style="18" hidden="1" customWidth="1"/>
    <col min="14" max="14" width="7.42578125" style="18" hidden="1" customWidth="1"/>
    <col min="15" max="15" width="8.42578125" style="18" hidden="1" customWidth="1"/>
    <col min="16" max="16" width="6.85546875" style="18" hidden="1" customWidth="1"/>
    <col min="17" max="17" width="4.5703125" style="18" customWidth="1"/>
    <col min="18" max="18" width="15.85546875" style="18" hidden="1"/>
    <col min="19" max="19" width="9.140625" style="18" hidden="1"/>
    <col min="20" max="20" width="11.85546875" style="18" hidden="1"/>
    <col min="21" max="21" width="11.28515625" style="18" hidden="1"/>
    <col min="22" max="26" width="12.140625" style="18" hidden="1"/>
    <col min="27" max="16384" width="9.140625" style="18" hidden="1"/>
  </cols>
  <sheetData>
    <row r="1" spans="2:27" ht="36.75" customHeight="1" x14ac:dyDescent="0.35">
      <c r="D1" s="194" t="s">
        <v>253</v>
      </c>
      <c r="E1" s="194"/>
      <c r="F1" s="194"/>
      <c r="G1" s="194"/>
      <c r="H1" s="194"/>
      <c r="I1" s="194"/>
      <c r="J1" s="194"/>
      <c r="K1" s="194"/>
      <c r="L1" s="194"/>
      <c r="M1" s="94"/>
      <c r="N1" s="94"/>
      <c r="O1" s="47">
        <f ca="1">TODAY()</f>
        <v>44970</v>
      </c>
      <c r="P1" s="47">
        <f ca="1">TODAY()</f>
        <v>44970</v>
      </c>
      <c r="Q1" s="48">
        <f ca="1">(DAY(DATE(YEAR(P1),MONTH(P1)+1,1)-1))-DAY(P1)+2</f>
        <v>17</v>
      </c>
    </row>
    <row r="2" spans="2:27" ht="23.25" customHeight="1" x14ac:dyDescent="0.35">
      <c r="D2" s="194"/>
      <c r="E2" s="194"/>
      <c r="F2" s="194"/>
      <c r="G2" s="194"/>
      <c r="H2" s="194"/>
      <c r="I2" s="194"/>
      <c r="J2" s="194"/>
      <c r="K2" s="194"/>
      <c r="L2" s="194"/>
      <c r="M2" s="94"/>
      <c r="N2" s="94"/>
      <c r="O2" s="47">
        <f ca="1">TODAY()</f>
        <v>44970</v>
      </c>
      <c r="P2" s="47">
        <f ca="1">TODAY()</f>
        <v>44970</v>
      </c>
      <c r="Q2" s="48">
        <f ca="1">(DAY(DATE(YEAR(P2),MONTH(P2)+1,1)-1))-DAY(P2)+2</f>
        <v>17</v>
      </c>
    </row>
    <row r="3" spans="2:27" ht="6.75" customHeight="1" x14ac:dyDescent="0.35">
      <c r="B3" s="45"/>
      <c r="C3" s="92"/>
      <c r="D3" s="46"/>
      <c r="E3" s="46"/>
      <c r="F3" s="46"/>
      <c r="G3" s="46"/>
      <c r="H3" s="46"/>
      <c r="I3" s="46"/>
      <c r="J3" s="46"/>
      <c r="K3" s="46"/>
      <c r="L3" s="46"/>
      <c r="M3" s="46"/>
      <c r="N3" s="93"/>
    </row>
    <row r="4" spans="2:27" ht="22.5" hidden="1" customHeight="1" thickTop="1" x14ac:dyDescent="0.3">
      <c r="B4" s="32"/>
      <c r="C4" s="32"/>
      <c r="D4" s="95" t="s">
        <v>23</v>
      </c>
      <c r="E4" s="156" t="s">
        <v>32</v>
      </c>
      <c r="F4" s="157"/>
      <c r="G4" s="157"/>
      <c r="H4" s="157"/>
      <c r="I4" s="157"/>
      <c r="J4" s="157"/>
      <c r="K4" s="157"/>
      <c r="L4" s="158"/>
      <c r="M4" s="34"/>
      <c r="N4" s="34"/>
    </row>
    <row r="5" spans="2:27" ht="22.5" hidden="1" customHeight="1" x14ac:dyDescent="0.3">
      <c r="B5" s="32"/>
      <c r="C5" s="32"/>
      <c r="D5" s="108" t="s">
        <v>24</v>
      </c>
      <c r="E5" s="159" t="str">
        <f>VLOOKUP(E6,Sheet2!E:I,5,0)</f>
        <v>REGAL AUTOMOBILES INDUSTRIES</v>
      </c>
      <c r="F5" s="160"/>
      <c r="G5" s="160"/>
      <c r="H5" s="160"/>
      <c r="I5" s="160"/>
      <c r="J5" s="160"/>
      <c r="K5" s="160"/>
      <c r="L5" s="161"/>
      <c r="M5" s="34"/>
      <c r="N5" s="34"/>
      <c r="S5" s="23"/>
      <c r="T5" s="21"/>
      <c r="U5" s="21"/>
      <c r="V5" s="21"/>
      <c r="W5" s="21"/>
      <c r="X5" s="21"/>
      <c r="Y5" s="50"/>
      <c r="Z5" s="21"/>
      <c r="AA5" s="19"/>
    </row>
    <row r="6" spans="2:27" ht="22.5" hidden="1" customHeight="1" x14ac:dyDescent="0.3">
      <c r="B6" s="32"/>
      <c r="C6" s="32"/>
      <c r="D6" s="142" t="s">
        <v>25</v>
      </c>
      <c r="E6" s="162" t="s">
        <v>173</v>
      </c>
      <c r="F6" s="163"/>
      <c r="G6" s="163"/>
      <c r="H6" s="163"/>
      <c r="I6" s="163"/>
      <c r="J6" s="163"/>
      <c r="K6" s="163"/>
      <c r="L6" s="164"/>
      <c r="M6" s="34"/>
      <c r="N6" s="34"/>
      <c r="S6" s="24"/>
      <c r="T6" s="25"/>
      <c r="U6" s="25"/>
      <c r="V6" s="25"/>
      <c r="W6" s="25"/>
      <c r="X6" s="25"/>
      <c r="Y6" s="25"/>
      <c r="Z6" s="25"/>
      <c r="AA6" s="19"/>
    </row>
    <row r="7" spans="2:27" ht="22.5" customHeight="1" x14ac:dyDescent="0.3">
      <c r="B7" s="32"/>
      <c r="C7" s="32"/>
      <c r="D7" s="143" t="s">
        <v>254</v>
      </c>
      <c r="E7" s="167" t="s">
        <v>255</v>
      </c>
      <c r="F7" s="168"/>
      <c r="G7" s="168"/>
      <c r="H7" s="168"/>
      <c r="I7" s="168"/>
      <c r="J7" s="168"/>
      <c r="K7" s="168"/>
      <c r="L7" s="168"/>
      <c r="M7" s="34"/>
      <c r="N7" s="34"/>
      <c r="S7" s="26"/>
      <c r="T7" s="25"/>
      <c r="U7" s="25"/>
      <c r="V7" s="25"/>
      <c r="W7" s="25"/>
      <c r="X7" s="25"/>
      <c r="Z7" s="25"/>
      <c r="AA7" s="19"/>
    </row>
    <row r="8" spans="2:27" ht="22.5" customHeight="1" x14ac:dyDescent="0.3">
      <c r="B8" s="32"/>
      <c r="C8" s="32"/>
      <c r="D8" s="143" t="s">
        <v>259</v>
      </c>
      <c r="E8" s="171">
        <v>15000000</v>
      </c>
      <c r="F8" s="171"/>
      <c r="G8" s="171"/>
      <c r="H8" s="171"/>
      <c r="I8" s="171"/>
      <c r="J8" s="171"/>
      <c r="K8" s="171"/>
      <c r="L8" s="171"/>
      <c r="M8" s="34"/>
      <c r="N8" s="34"/>
      <c r="S8" s="24"/>
      <c r="T8" s="25"/>
      <c r="U8" s="25"/>
      <c r="V8" s="25"/>
      <c r="W8" s="25"/>
      <c r="X8" s="25"/>
      <c r="Z8" s="25"/>
      <c r="AA8" s="19"/>
    </row>
    <row r="9" spans="2:27" ht="22.5" hidden="1" customHeight="1" x14ac:dyDescent="0.3">
      <c r="B9" s="32"/>
      <c r="C9" s="32"/>
      <c r="D9" s="143" t="s">
        <v>216</v>
      </c>
      <c r="E9" s="170">
        <f>IF(E7="New",#REF!,E8)</f>
        <v>15000000</v>
      </c>
      <c r="F9" s="170"/>
      <c r="G9" s="170"/>
      <c r="H9" s="170"/>
      <c r="I9" s="170"/>
      <c r="J9" s="170"/>
      <c r="K9" s="170"/>
      <c r="L9" s="170"/>
      <c r="M9" s="34"/>
      <c r="N9" s="34"/>
      <c r="S9" s="24"/>
      <c r="T9" s="25"/>
      <c r="U9" s="25"/>
      <c r="V9" s="25"/>
      <c r="W9" s="25"/>
      <c r="X9" s="25"/>
      <c r="Z9" s="25"/>
      <c r="AA9" s="19"/>
    </row>
    <row r="10" spans="2:27" ht="22.5" customHeight="1" x14ac:dyDescent="0.3">
      <c r="B10" s="32"/>
      <c r="C10" s="32"/>
      <c r="D10" s="143" t="s">
        <v>260</v>
      </c>
      <c r="E10" s="176">
        <v>0.2</v>
      </c>
      <c r="F10" s="176"/>
      <c r="G10" s="176"/>
      <c r="H10" s="174" t="s">
        <v>31</v>
      </c>
      <c r="I10" s="174"/>
      <c r="J10" s="177">
        <f>100%-E10</f>
        <v>0.8</v>
      </c>
      <c r="K10" s="177"/>
      <c r="L10" s="177"/>
      <c r="M10" s="34"/>
      <c r="N10" s="34"/>
      <c r="S10" s="19"/>
      <c r="T10" s="19"/>
      <c r="U10" s="19"/>
      <c r="V10" s="19"/>
      <c r="W10" s="19"/>
      <c r="X10" s="19"/>
      <c r="Z10" s="19"/>
      <c r="AA10" s="19"/>
    </row>
    <row r="11" spans="2:27" ht="21.75" customHeight="1" x14ac:dyDescent="0.3">
      <c r="B11" s="32"/>
      <c r="C11" s="32"/>
      <c r="D11" s="143" t="s">
        <v>29</v>
      </c>
      <c r="E11" s="175">
        <v>25</v>
      </c>
      <c r="F11" s="175"/>
      <c r="G11" s="175"/>
      <c r="H11" s="175"/>
      <c r="I11" s="175"/>
      <c r="J11" s="175"/>
      <c r="K11" s="175"/>
      <c r="L11" s="175"/>
      <c r="M11" s="34">
        <f>E11</f>
        <v>25</v>
      </c>
      <c r="N11" s="34"/>
      <c r="S11" s="23"/>
      <c r="T11" s="21"/>
      <c r="U11" s="21"/>
      <c r="V11" s="21"/>
      <c r="W11" s="21"/>
      <c r="X11" s="21"/>
      <c r="Y11" s="21"/>
      <c r="Z11" s="21"/>
      <c r="AA11" s="19"/>
    </row>
    <row r="12" spans="2:27" ht="22.5" customHeight="1" x14ac:dyDescent="0.3">
      <c r="B12" s="32"/>
      <c r="C12" s="32"/>
      <c r="D12" s="143" t="s">
        <v>249</v>
      </c>
      <c r="E12" s="173" t="s">
        <v>251</v>
      </c>
      <c r="F12" s="173"/>
      <c r="G12" s="173"/>
      <c r="H12" s="173"/>
      <c r="I12" s="173"/>
      <c r="J12" s="173"/>
      <c r="K12" s="173"/>
      <c r="L12" s="173"/>
      <c r="M12" s="34"/>
      <c r="N12" s="34"/>
      <c r="R12"/>
      <c r="S12" s="24"/>
      <c r="T12" s="27"/>
      <c r="U12" s="27"/>
      <c r="V12" s="27"/>
      <c r="W12" s="27"/>
      <c r="X12" s="27"/>
      <c r="Y12" s="27"/>
      <c r="Z12" s="27"/>
      <c r="AA12" s="19"/>
    </row>
    <row r="13" spans="2:27" ht="22.5" customHeight="1" x14ac:dyDescent="0.3">
      <c r="B13" s="32"/>
      <c r="C13" s="32"/>
      <c r="D13" s="143" t="s">
        <v>250</v>
      </c>
      <c r="E13" s="172" t="s">
        <v>281</v>
      </c>
      <c r="F13" s="172"/>
      <c r="G13" s="172"/>
      <c r="H13" s="172"/>
      <c r="I13" s="172"/>
      <c r="J13" s="172"/>
      <c r="K13" s="172"/>
      <c r="L13" s="172"/>
      <c r="M13" s="179">
        <f>VLOOKUP(E13,Sheet2!$P$42:$Q$57,2,0)</f>
        <v>0.18329999999999999</v>
      </c>
      <c r="N13" s="180"/>
      <c r="O13" s="138">
        <f>M13</f>
        <v>0.18329999999999999</v>
      </c>
      <c r="S13" s="26"/>
      <c r="T13" s="27"/>
      <c r="U13" s="27"/>
      <c r="V13" s="27"/>
      <c r="W13" s="27"/>
      <c r="X13" s="27"/>
      <c r="Y13" s="27"/>
      <c r="Z13" s="27"/>
      <c r="AA13" s="19"/>
    </row>
    <row r="14" spans="2:27" ht="10.5" customHeight="1" x14ac:dyDescent="0.3">
      <c r="B14" s="32"/>
      <c r="C14" s="32"/>
      <c r="D14" s="20"/>
      <c r="M14" s="34"/>
      <c r="N14" s="34"/>
      <c r="S14" s="24"/>
      <c r="T14" s="27"/>
      <c r="U14" s="27"/>
      <c r="V14" s="27"/>
      <c r="W14" s="27"/>
      <c r="X14" s="27"/>
      <c r="Y14" s="27"/>
      <c r="Z14" s="27"/>
      <c r="AA14" s="19"/>
    </row>
    <row r="15" spans="2:27" ht="12.75" hidden="1" customHeight="1" x14ac:dyDescent="0.3">
      <c r="B15" s="32"/>
      <c r="C15" s="32"/>
      <c r="D15" s="165" t="s">
        <v>211</v>
      </c>
      <c r="E15" s="169" t="s">
        <v>207</v>
      </c>
      <c r="F15" s="169"/>
      <c r="G15" s="169"/>
      <c r="H15" s="169"/>
      <c r="I15" s="169"/>
      <c r="J15" s="106" t="s">
        <v>222</v>
      </c>
      <c r="K15" s="107"/>
      <c r="L15" s="107"/>
      <c r="M15" s="34"/>
      <c r="N15" s="34"/>
      <c r="S15" s="24"/>
      <c r="T15" s="27"/>
      <c r="U15" s="27"/>
      <c r="V15" s="27"/>
      <c r="W15" s="27"/>
      <c r="X15" s="27"/>
      <c r="Y15" s="27"/>
      <c r="Z15" s="27"/>
      <c r="AA15" s="19"/>
    </row>
    <row r="16" spans="2:27" hidden="1" x14ac:dyDescent="0.3">
      <c r="D16" s="166"/>
      <c r="E16" s="169" t="s">
        <v>208</v>
      </c>
      <c r="F16" s="169"/>
      <c r="G16" s="169"/>
      <c r="H16" s="169"/>
      <c r="I16" s="169"/>
      <c r="J16" s="178" t="str">
        <f>VLOOKUP(J15,Sheet2!N22:P37,2,0)</f>
        <v>No</v>
      </c>
      <c r="K16" s="178"/>
      <c r="L16" s="178"/>
      <c r="S16" s="19"/>
      <c r="T16" s="19"/>
      <c r="U16" s="19"/>
      <c r="V16" s="19"/>
      <c r="W16" s="19"/>
      <c r="X16" s="19"/>
      <c r="Y16" s="19"/>
      <c r="Z16" s="19"/>
      <c r="AA16" s="19"/>
    </row>
    <row r="17" spans="2:27" hidden="1" x14ac:dyDescent="0.3">
      <c r="D17" s="166"/>
      <c r="E17" s="169" t="s">
        <v>209</v>
      </c>
      <c r="F17" s="169"/>
      <c r="G17" s="169"/>
      <c r="H17" s="169"/>
      <c r="I17" s="169"/>
      <c r="J17" s="178" t="str">
        <f>VLOOKUP(J15,Sheet2!N22:P37,3,0)</f>
        <v>Yes</v>
      </c>
      <c r="K17" s="178"/>
      <c r="L17" s="178"/>
      <c r="S17" s="19"/>
      <c r="T17" s="19"/>
      <c r="U17" s="19"/>
      <c r="V17" s="19"/>
      <c r="W17" s="19"/>
      <c r="X17" s="19"/>
      <c r="Y17" s="19"/>
      <c r="Z17" s="19"/>
      <c r="AA17" s="19"/>
    </row>
    <row r="18" spans="2:27" ht="12.75" hidden="1" customHeight="1" x14ac:dyDescent="0.3">
      <c r="D18" s="166"/>
      <c r="E18" s="169" t="s">
        <v>210</v>
      </c>
      <c r="F18" s="169"/>
      <c r="G18" s="169"/>
      <c r="H18" s="169"/>
      <c r="I18" s="169"/>
      <c r="J18" s="105">
        <f>VLOOKUP(J15,Sheet2!$N$22:$Q$37,4,0)</f>
        <v>1.4999999999999999E-2</v>
      </c>
      <c r="K18" s="105"/>
      <c r="L18" s="105"/>
      <c r="M18" s="96"/>
      <c r="Q18" s="19"/>
      <c r="R18" s="21"/>
      <c r="S18" s="21"/>
      <c r="T18" s="21"/>
      <c r="U18" s="21"/>
      <c r="V18" s="21"/>
      <c r="W18" s="21"/>
      <c r="X18" s="21"/>
      <c r="Y18" s="19"/>
    </row>
    <row r="19" spans="2:27" ht="12.75" hidden="1" customHeight="1" x14ac:dyDescent="0.3">
      <c r="D19" s="38"/>
      <c r="E19" s="43"/>
      <c r="F19" s="43"/>
      <c r="G19" s="44"/>
      <c r="H19" s="44"/>
      <c r="I19" s="34"/>
      <c r="J19" s="43"/>
      <c r="K19" s="44"/>
      <c r="L19" s="44"/>
      <c r="M19" s="96"/>
      <c r="Q19" s="19"/>
      <c r="R19" s="21"/>
      <c r="S19" s="21"/>
      <c r="T19" s="21"/>
      <c r="U19" s="21"/>
      <c r="V19" s="21"/>
      <c r="W19" s="21"/>
      <c r="X19" s="21"/>
      <c r="Y19" s="19"/>
    </row>
    <row r="20" spans="2:27" ht="22.5" customHeight="1" x14ac:dyDescent="0.3">
      <c r="D20" s="174" t="s">
        <v>261</v>
      </c>
      <c r="E20" s="174"/>
      <c r="F20" s="174"/>
      <c r="G20" s="174"/>
      <c r="H20" s="174"/>
      <c r="I20" s="174"/>
      <c r="J20" s="186">
        <f>IF(E7="New",#REF!*E10,E8*E10)</f>
        <v>3000000</v>
      </c>
      <c r="K20" s="186"/>
      <c r="L20" s="186"/>
      <c r="M20" s="19"/>
      <c r="Q20" s="19"/>
      <c r="R20" s="21"/>
      <c r="S20" s="21"/>
      <c r="T20" s="21"/>
      <c r="U20" s="21"/>
      <c r="V20" s="21"/>
      <c r="W20" s="21"/>
      <c r="X20" s="21"/>
      <c r="Y20" s="19"/>
    </row>
    <row r="21" spans="2:27" ht="22.5" customHeight="1" x14ac:dyDescent="0.3">
      <c r="D21" s="174" t="s">
        <v>262</v>
      </c>
      <c r="E21" s="174"/>
      <c r="F21" s="174"/>
      <c r="G21" s="174"/>
      <c r="H21" s="174"/>
      <c r="I21" s="174"/>
      <c r="J21" s="186">
        <f>IF(E7="New",#REF!*J10,E8*J10)</f>
        <v>12000000</v>
      </c>
      <c r="K21" s="186"/>
      <c r="L21" s="186"/>
      <c r="M21" s="19"/>
      <c r="Q21" s="19"/>
      <c r="R21" s="22"/>
      <c r="S21" s="22"/>
      <c r="T21" s="22"/>
      <c r="U21" s="22"/>
      <c r="V21" s="22"/>
      <c r="W21" s="22"/>
      <c r="X21" s="22"/>
      <c r="Y21" s="19"/>
    </row>
    <row r="22" spans="2:27" hidden="1" x14ac:dyDescent="0.3">
      <c r="D22" s="182" t="s">
        <v>213</v>
      </c>
      <c r="E22" s="182"/>
      <c r="F22" s="182"/>
      <c r="G22" s="182"/>
      <c r="H22" s="182"/>
      <c r="I22" s="182"/>
      <c r="J22" s="186" t="e">
        <f>#REF!</f>
        <v>#REF!</v>
      </c>
      <c r="K22" s="186"/>
      <c r="L22" s="186"/>
      <c r="Q22" s="19"/>
      <c r="R22" s="19"/>
      <c r="S22" s="19"/>
      <c r="T22" s="19"/>
      <c r="U22" s="19"/>
      <c r="V22" s="19"/>
      <c r="W22" s="19"/>
      <c r="X22" s="19"/>
      <c r="Y22" s="19"/>
    </row>
    <row r="23" spans="2:27" ht="12.75" hidden="1" customHeight="1" x14ac:dyDescent="0.3">
      <c r="D23" s="140" t="s">
        <v>26</v>
      </c>
      <c r="E23" s="141"/>
      <c r="F23" s="141"/>
      <c r="G23" s="141"/>
      <c r="H23" s="141"/>
      <c r="I23" s="141"/>
      <c r="J23" s="183">
        <f>PMT(M13/12,E11*12,-J21)</f>
        <v>185261.90710045281</v>
      </c>
      <c r="K23" s="183"/>
      <c r="L23" s="183"/>
    </row>
    <row r="24" spans="2:27" ht="12.75" hidden="1" customHeight="1" x14ac:dyDescent="0.3">
      <c r="D24" s="144" t="s">
        <v>27</v>
      </c>
      <c r="E24" s="184">
        <v>0</v>
      </c>
      <c r="F24" s="184"/>
      <c r="G24" s="184"/>
      <c r="H24" s="145"/>
      <c r="I24" s="145"/>
      <c r="J24" s="190"/>
      <c r="K24" s="190"/>
      <c r="L24" s="190"/>
    </row>
    <row r="25" spans="2:27" ht="22.5" customHeight="1" x14ac:dyDescent="0.3">
      <c r="D25" s="154" t="s">
        <v>212</v>
      </c>
      <c r="E25" s="154"/>
      <c r="F25" s="154"/>
      <c r="G25" s="154"/>
      <c r="H25" s="154"/>
      <c r="I25" s="154"/>
      <c r="J25" s="185">
        <v>4000</v>
      </c>
      <c r="K25" s="185"/>
      <c r="L25" s="185"/>
      <c r="O25" s="87"/>
      <c r="P25" s="87"/>
    </row>
    <row r="26" spans="2:27" ht="12.75" hidden="1" customHeight="1" x14ac:dyDescent="0.3">
      <c r="B26" s="31"/>
      <c r="C26" s="31"/>
      <c r="D26" s="154"/>
      <c r="E26" s="146"/>
      <c r="F26" s="146"/>
      <c r="G26" s="146"/>
      <c r="H26" s="146"/>
      <c r="I26" s="146"/>
      <c r="J26" s="185">
        <f>J25*J27*100</f>
        <v>600</v>
      </c>
      <c r="K26" s="185"/>
      <c r="L26" s="185"/>
      <c r="M26" s="34"/>
      <c r="N26" s="34"/>
      <c r="Q26" s="87"/>
      <c r="R26" s="87"/>
    </row>
    <row r="27" spans="2:27" ht="12.75" hidden="1" customHeight="1" x14ac:dyDescent="0.3">
      <c r="B27" s="31"/>
      <c r="C27" s="31"/>
      <c r="D27" s="154"/>
      <c r="E27" s="147"/>
      <c r="F27" s="147"/>
      <c r="G27" s="147"/>
      <c r="H27" s="147"/>
      <c r="I27" s="148" t="s">
        <v>28</v>
      </c>
      <c r="J27" s="189">
        <v>1.5E-3</v>
      </c>
      <c r="K27" s="189"/>
      <c r="L27" s="189"/>
      <c r="M27" s="91"/>
      <c r="N27" s="91"/>
      <c r="Q27" s="87"/>
      <c r="R27" s="87"/>
    </row>
    <row r="28" spans="2:27" ht="12.75" hidden="1" customHeight="1" x14ac:dyDescent="0.35">
      <c r="D28" s="154"/>
      <c r="E28" s="149"/>
      <c r="F28" s="149"/>
      <c r="G28" s="149"/>
      <c r="H28" s="149"/>
      <c r="I28" s="150"/>
      <c r="J28" s="151"/>
      <c r="K28" s="151"/>
      <c r="L28" s="151"/>
      <c r="M28" s="34"/>
      <c r="N28" s="34"/>
      <c r="O28" s="49"/>
      <c r="P28" s="49"/>
      <c r="Q28" s="88">
        <f>J25+J26</f>
        <v>4600</v>
      </c>
      <c r="R28" s="87"/>
    </row>
    <row r="29" spans="2:27" x14ac:dyDescent="0.3">
      <c r="D29" s="154"/>
      <c r="E29" s="154" t="s">
        <v>278</v>
      </c>
      <c r="F29" s="154"/>
      <c r="G29" s="154"/>
      <c r="H29" s="154"/>
      <c r="I29" s="154"/>
      <c r="J29" s="187">
        <f>J25*16%</f>
        <v>640</v>
      </c>
      <c r="K29" s="187"/>
      <c r="L29" s="187"/>
      <c r="M29" s="34"/>
      <c r="N29" s="34"/>
      <c r="Q29" s="87"/>
      <c r="R29" s="87"/>
    </row>
    <row r="30" spans="2:27" ht="15.75" x14ac:dyDescent="0.3">
      <c r="D30" s="154"/>
      <c r="E30" s="154" t="s">
        <v>279</v>
      </c>
      <c r="F30" s="154"/>
      <c r="G30" s="154"/>
      <c r="H30" s="154"/>
      <c r="I30" s="154"/>
      <c r="J30" s="155">
        <f>SUM(J25:L29)</f>
        <v>5240.0015000000003</v>
      </c>
      <c r="K30" s="155"/>
      <c r="L30" s="155"/>
      <c r="M30" s="34"/>
      <c r="N30" s="34"/>
      <c r="Q30" s="87"/>
      <c r="R30" s="87"/>
    </row>
    <row r="31" spans="2:27" ht="10.5" customHeight="1" x14ac:dyDescent="0.3">
      <c r="B31" s="39"/>
      <c r="D31" s="35"/>
      <c r="E31" s="42"/>
      <c r="F31" s="42"/>
      <c r="G31" s="40"/>
      <c r="H31" s="191"/>
      <c r="I31" s="191"/>
      <c r="J31" s="36"/>
      <c r="K31" s="37"/>
      <c r="L31" s="34"/>
      <c r="M31" s="34"/>
      <c r="P31" s="87"/>
      <c r="Q31" s="87"/>
    </row>
    <row r="32" spans="2:27" ht="17.25" customHeight="1" x14ac:dyDescent="0.3">
      <c r="C32" s="192" t="s">
        <v>214</v>
      </c>
      <c r="D32" s="192"/>
      <c r="E32" s="192"/>
      <c r="F32" s="192"/>
      <c r="G32" s="192"/>
      <c r="H32" s="192"/>
      <c r="I32" s="192"/>
      <c r="J32" s="192"/>
      <c r="K32" s="192"/>
      <c r="L32" s="192"/>
      <c r="M32" s="34"/>
      <c r="N32" s="34"/>
    </row>
    <row r="33" spans="2:16" x14ac:dyDescent="0.3">
      <c r="C33" s="139" t="s">
        <v>30</v>
      </c>
      <c r="D33" s="193" t="s">
        <v>30</v>
      </c>
      <c r="E33" s="193"/>
      <c r="F33" s="193"/>
      <c r="G33" s="193"/>
      <c r="H33" s="193" t="s">
        <v>215</v>
      </c>
      <c r="I33" s="193"/>
      <c r="J33" s="193"/>
      <c r="K33" s="193"/>
      <c r="L33" s="193"/>
    </row>
    <row r="34" spans="2:16" ht="16.5" x14ac:dyDescent="0.35">
      <c r="C34" s="97">
        <f>IF($E$11&gt;=1,1,"")</f>
        <v>1</v>
      </c>
      <c r="D34" s="188">
        <f>IF($E$11&gt;=1,1,"")</f>
        <v>1</v>
      </c>
      <c r="E34" s="188"/>
      <c r="F34" s="188"/>
      <c r="G34" s="188"/>
      <c r="H34" s="181">
        <f>IF(C34&lt;=$E$11,$J$23,"")</f>
        <v>185261.90710045281</v>
      </c>
      <c r="I34" s="181"/>
      <c r="J34" s="181"/>
      <c r="K34" s="181"/>
      <c r="L34" s="181"/>
      <c r="M34" s="29"/>
      <c r="N34" s="30">
        <v>0.75</v>
      </c>
    </row>
    <row r="35" spans="2:16" x14ac:dyDescent="0.3">
      <c r="C35" s="97">
        <f>IF($E$11&gt;=2,2,"")</f>
        <v>2</v>
      </c>
      <c r="D35" s="188">
        <f>IF($E$11&gt;=2,2,"")</f>
        <v>2</v>
      </c>
      <c r="E35" s="188"/>
      <c r="F35" s="188"/>
      <c r="G35" s="188"/>
      <c r="H35" s="181">
        <f t="shared" ref="H35:H53" si="0">IF(C35&lt;=$E$11,$J$23,"")</f>
        <v>185261.90710045281</v>
      </c>
      <c r="I35" s="181"/>
      <c r="J35" s="181"/>
      <c r="K35" s="181"/>
      <c r="L35" s="181"/>
    </row>
    <row r="36" spans="2:16" x14ac:dyDescent="0.3">
      <c r="C36" s="97">
        <f>IF($E$11&gt;=3,3,"")</f>
        <v>3</v>
      </c>
      <c r="D36" s="188">
        <f>IF($E$11&gt;=3,3,"")</f>
        <v>3</v>
      </c>
      <c r="E36" s="188"/>
      <c r="F36" s="188"/>
      <c r="G36" s="188"/>
      <c r="H36" s="181">
        <f t="shared" si="0"/>
        <v>185261.90710045281</v>
      </c>
      <c r="I36" s="181"/>
      <c r="J36" s="181"/>
      <c r="K36" s="181"/>
      <c r="L36" s="181"/>
    </row>
    <row r="37" spans="2:16" ht="16.5" x14ac:dyDescent="0.35">
      <c r="C37" s="97">
        <f>IF($E$11&gt;=4,4,"")</f>
        <v>4</v>
      </c>
      <c r="D37" s="188">
        <f>IF($E$11&gt;=4,4,"")</f>
        <v>4</v>
      </c>
      <c r="E37" s="188"/>
      <c r="F37" s="188"/>
      <c r="G37" s="188"/>
      <c r="H37" s="181">
        <f t="shared" si="0"/>
        <v>185261.90710045281</v>
      </c>
      <c r="I37" s="181"/>
      <c r="J37" s="181"/>
      <c r="K37" s="181"/>
      <c r="L37" s="181"/>
      <c r="M37" s="29"/>
      <c r="N37" s="30">
        <v>0.9</v>
      </c>
    </row>
    <row r="38" spans="2:16" ht="16.5" x14ac:dyDescent="0.35">
      <c r="C38" s="97">
        <f>IF($E$11&gt;=5,5,"")</f>
        <v>5</v>
      </c>
      <c r="D38" s="188">
        <f>IF($E$11&gt;=5,5,"")</f>
        <v>5</v>
      </c>
      <c r="E38" s="188"/>
      <c r="F38" s="188"/>
      <c r="G38" s="188"/>
      <c r="H38" s="181">
        <f t="shared" si="0"/>
        <v>185261.90710045281</v>
      </c>
      <c r="I38" s="181"/>
      <c r="J38" s="181"/>
      <c r="K38" s="181"/>
      <c r="L38" s="181"/>
      <c r="M38" s="29"/>
      <c r="N38" s="30">
        <v>0.85</v>
      </c>
    </row>
    <row r="39" spans="2:16" ht="16.5" x14ac:dyDescent="0.35">
      <c r="C39" s="97">
        <f>IF($E$11&gt;=6,6,"")</f>
        <v>6</v>
      </c>
      <c r="D39" s="188">
        <f>IF($E$11&gt;=6,6,"")</f>
        <v>6</v>
      </c>
      <c r="E39" s="188"/>
      <c r="F39" s="188"/>
      <c r="G39" s="188"/>
      <c r="H39" s="181">
        <f t="shared" si="0"/>
        <v>185261.90710045281</v>
      </c>
      <c r="I39" s="181"/>
      <c r="J39" s="181"/>
      <c r="K39" s="181"/>
      <c r="L39" s="181"/>
      <c r="M39" s="29"/>
      <c r="N39" s="30">
        <v>0.8</v>
      </c>
    </row>
    <row r="40" spans="2:16" ht="16.5" x14ac:dyDescent="0.35">
      <c r="C40" s="97">
        <f>IF($E$11&gt;=7,7,"")</f>
        <v>7</v>
      </c>
      <c r="D40" s="188">
        <f>IF($E$11&gt;=7,7,"")</f>
        <v>7</v>
      </c>
      <c r="E40" s="188"/>
      <c r="F40" s="188"/>
      <c r="G40" s="188"/>
      <c r="H40" s="181">
        <f t="shared" si="0"/>
        <v>185261.90710045281</v>
      </c>
      <c r="I40" s="181"/>
      <c r="J40" s="181"/>
      <c r="K40" s="181"/>
      <c r="L40" s="181"/>
      <c r="M40" s="29"/>
      <c r="N40" s="30">
        <v>0.75</v>
      </c>
    </row>
    <row r="41" spans="2:16" ht="16.5" x14ac:dyDescent="0.35">
      <c r="B41" s="33"/>
      <c r="C41" s="97">
        <f>IF($E$11&gt;=8,8,"")</f>
        <v>8</v>
      </c>
      <c r="D41" s="188">
        <f>IF($E$11&gt;=8,8,"")</f>
        <v>8</v>
      </c>
      <c r="E41" s="188"/>
      <c r="F41" s="188"/>
      <c r="G41" s="188"/>
      <c r="H41" s="181">
        <f t="shared" si="0"/>
        <v>185261.90710045281</v>
      </c>
      <c r="I41" s="181"/>
      <c r="J41" s="181"/>
      <c r="K41" s="181"/>
      <c r="L41" s="181"/>
      <c r="M41" s="33"/>
      <c r="N41" s="29"/>
      <c r="O41" s="29"/>
      <c r="P41" s="30">
        <v>0.7</v>
      </c>
    </row>
    <row r="42" spans="2:16" ht="16.5" x14ac:dyDescent="0.35">
      <c r="B42" s="32"/>
      <c r="C42" s="97">
        <f>IF($E$11&gt;=9,9,"")</f>
        <v>9</v>
      </c>
      <c r="D42" s="188">
        <f>IF($E$11&gt;=9,9,"")</f>
        <v>9</v>
      </c>
      <c r="E42" s="188"/>
      <c r="F42" s="188"/>
      <c r="G42" s="188"/>
      <c r="H42" s="181">
        <f t="shared" si="0"/>
        <v>185261.90710045281</v>
      </c>
      <c r="I42" s="181"/>
      <c r="J42" s="181"/>
      <c r="K42" s="181"/>
      <c r="L42" s="181"/>
      <c r="M42" s="33"/>
      <c r="N42" s="29"/>
      <c r="O42" s="29"/>
      <c r="P42" s="30">
        <v>0.65</v>
      </c>
    </row>
    <row r="43" spans="2:16" ht="16.5" x14ac:dyDescent="0.35">
      <c r="B43" s="41"/>
      <c r="C43" s="97">
        <f>IF($E$11&gt;=10,10,"")</f>
        <v>10</v>
      </c>
      <c r="D43" s="188">
        <f>IF($E$11&gt;=10,10,"")</f>
        <v>10</v>
      </c>
      <c r="E43" s="188"/>
      <c r="F43" s="188"/>
      <c r="G43" s="188"/>
      <c r="H43" s="181">
        <f t="shared" si="0"/>
        <v>185261.90710045281</v>
      </c>
      <c r="I43" s="181"/>
      <c r="J43" s="181"/>
      <c r="K43" s="181"/>
      <c r="L43" s="181"/>
      <c r="M43" s="33"/>
      <c r="N43" s="29"/>
      <c r="O43" s="29"/>
      <c r="P43" s="30">
        <v>0.6</v>
      </c>
    </row>
    <row r="44" spans="2:16" x14ac:dyDescent="0.3">
      <c r="C44" s="97">
        <f>IF($E$11&gt;=11,11,"")</f>
        <v>11</v>
      </c>
      <c r="D44" s="188">
        <f>IF($E$11&gt;=11,11,"")</f>
        <v>11</v>
      </c>
      <c r="E44" s="188"/>
      <c r="F44" s="188"/>
      <c r="G44" s="188"/>
      <c r="H44" s="181">
        <f t="shared" si="0"/>
        <v>185261.90710045281</v>
      </c>
      <c r="I44" s="181"/>
      <c r="J44" s="181"/>
      <c r="K44" s="181"/>
      <c r="L44" s="181"/>
      <c r="M44" s="32"/>
    </row>
    <row r="45" spans="2:16" x14ac:dyDescent="0.3">
      <c r="C45" s="97">
        <f>IF($E$11&gt;=12,12,"")</f>
        <v>12</v>
      </c>
      <c r="D45" s="188">
        <f>IF($E$11&gt;=12,12,"")</f>
        <v>12</v>
      </c>
      <c r="E45" s="188"/>
      <c r="F45" s="188"/>
      <c r="G45" s="188"/>
      <c r="H45" s="181">
        <f t="shared" si="0"/>
        <v>185261.90710045281</v>
      </c>
      <c r="I45" s="181"/>
      <c r="J45" s="181"/>
      <c r="K45" s="181"/>
      <c r="L45" s="181"/>
      <c r="M45" s="32"/>
    </row>
    <row r="46" spans="2:16" x14ac:dyDescent="0.3">
      <c r="C46" s="97">
        <f>IF($E$11&gt;=13,13,"")</f>
        <v>13</v>
      </c>
      <c r="D46" s="188">
        <f>IF($E$11&gt;=13,13,"")</f>
        <v>13</v>
      </c>
      <c r="E46" s="188"/>
      <c r="F46" s="188"/>
      <c r="G46" s="188"/>
      <c r="H46" s="181">
        <f t="shared" si="0"/>
        <v>185261.90710045281</v>
      </c>
      <c r="I46" s="181"/>
      <c r="J46" s="181"/>
      <c r="K46" s="181"/>
      <c r="L46" s="181"/>
      <c r="M46" s="32"/>
    </row>
    <row r="47" spans="2:16" x14ac:dyDescent="0.3">
      <c r="C47" s="97">
        <f>IF($E$11&gt;=14,14,"")</f>
        <v>14</v>
      </c>
      <c r="D47" s="188">
        <f>IF($E$11&gt;=14,14,"")</f>
        <v>14</v>
      </c>
      <c r="E47" s="188"/>
      <c r="F47" s="188"/>
      <c r="G47" s="188"/>
      <c r="H47" s="181">
        <f t="shared" si="0"/>
        <v>185261.90710045281</v>
      </c>
      <c r="I47" s="181"/>
      <c r="J47" s="181"/>
      <c r="K47" s="181"/>
      <c r="L47" s="181"/>
      <c r="M47" s="32"/>
    </row>
    <row r="48" spans="2:16" x14ac:dyDescent="0.3">
      <c r="C48" s="97">
        <f>IF($E$11&gt;=15,15,"")</f>
        <v>15</v>
      </c>
      <c r="D48" s="188">
        <f>IF($E$11&gt;=15,15,"")</f>
        <v>15</v>
      </c>
      <c r="E48" s="188"/>
      <c r="F48" s="188"/>
      <c r="G48" s="188"/>
      <c r="H48" s="181">
        <f t="shared" si="0"/>
        <v>185261.90710045281</v>
      </c>
      <c r="I48" s="181"/>
      <c r="J48" s="181"/>
      <c r="K48" s="181"/>
      <c r="L48" s="181"/>
      <c r="M48" s="32"/>
    </row>
    <row r="49" spans="3:13" x14ac:dyDescent="0.3">
      <c r="C49" s="97">
        <f>IF($E$11&gt;=16,16,"")</f>
        <v>16</v>
      </c>
      <c r="D49" s="188">
        <f>IF($E$11&gt;=16,16,"")</f>
        <v>16</v>
      </c>
      <c r="E49" s="188"/>
      <c r="F49" s="188"/>
      <c r="G49" s="188"/>
      <c r="H49" s="181">
        <f t="shared" si="0"/>
        <v>185261.90710045281</v>
      </c>
      <c r="I49" s="181"/>
      <c r="J49" s="181"/>
      <c r="K49" s="181"/>
      <c r="L49" s="181"/>
      <c r="M49" s="32"/>
    </row>
    <row r="50" spans="3:13" x14ac:dyDescent="0.3">
      <c r="C50" s="97">
        <f>IF($E$11&gt;=17,17,"")</f>
        <v>17</v>
      </c>
      <c r="D50" s="188">
        <f>IF($E$11&gt;=17,17,"")</f>
        <v>17</v>
      </c>
      <c r="E50" s="188"/>
      <c r="F50" s="188"/>
      <c r="G50" s="188"/>
      <c r="H50" s="181">
        <f t="shared" si="0"/>
        <v>185261.90710045281</v>
      </c>
      <c r="I50" s="181"/>
      <c r="J50" s="181"/>
      <c r="K50" s="181"/>
      <c r="L50" s="181"/>
    </row>
    <row r="51" spans="3:13" x14ac:dyDescent="0.3">
      <c r="C51" s="97">
        <f>IF($E$11&gt;=18,18,"")</f>
        <v>18</v>
      </c>
      <c r="D51" s="188">
        <f>IF($E$11&gt;=18,18,"")</f>
        <v>18</v>
      </c>
      <c r="E51" s="188"/>
      <c r="F51" s="188"/>
      <c r="G51" s="188"/>
      <c r="H51" s="181">
        <f t="shared" si="0"/>
        <v>185261.90710045281</v>
      </c>
      <c r="I51" s="181"/>
      <c r="J51" s="181"/>
      <c r="K51" s="181"/>
      <c r="L51" s="181"/>
    </row>
    <row r="52" spans="3:13" x14ac:dyDescent="0.3">
      <c r="C52" s="97">
        <f>IF($E$11&gt;=19,19,"")</f>
        <v>19</v>
      </c>
      <c r="D52" s="188">
        <f>IF($E$11&gt;=19,19,"")</f>
        <v>19</v>
      </c>
      <c r="E52" s="188"/>
      <c r="F52" s="188"/>
      <c r="G52" s="188"/>
      <c r="H52" s="181">
        <f t="shared" si="0"/>
        <v>185261.90710045281</v>
      </c>
      <c r="I52" s="181"/>
      <c r="J52" s="181"/>
      <c r="K52" s="181"/>
      <c r="L52" s="181"/>
    </row>
    <row r="53" spans="3:13" x14ac:dyDescent="0.3">
      <c r="C53" s="97">
        <f>IF($E$11&gt;=20,20,"")</f>
        <v>20</v>
      </c>
      <c r="D53" s="188">
        <f>IF($E$11&gt;=20,20,"")</f>
        <v>20</v>
      </c>
      <c r="E53" s="188"/>
      <c r="F53" s="188"/>
      <c r="G53" s="188"/>
      <c r="H53" s="181">
        <f t="shared" si="0"/>
        <v>185261.90710045281</v>
      </c>
      <c r="I53" s="181"/>
      <c r="J53" s="181"/>
      <c r="K53" s="181"/>
      <c r="L53" s="181"/>
    </row>
    <row r="54" spans="3:13" x14ac:dyDescent="0.3">
      <c r="C54" s="97">
        <f>IF($E$11&gt;=21,21,"")</f>
        <v>21</v>
      </c>
      <c r="D54" s="188">
        <f>IF($E$11&gt;=21,21,"")</f>
        <v>21</v>
      </c>
      <c r="E54" s="188"/>
      <c r="F54" s="188"/>
      <c r="G54" s="188"/>
      <c r="H54" s="181">
        <f t="shared" ref="H54:H58" si="1">IF(C54&lt;=$E$11,$J$23,"")</f>
        <v>185261.90710045281</v>
      </c>
      <c r="I54" s="181"/>
      <c r="J54" s="181"/>
      <c r="K54" s="181"/>
      <c r="L54" s="181"/>
    </row>
    <row r="55" spans="3:13" x14ac:dyDescent="0.3">
      <c r="C55" s="97">
        <f>IF($E$11&gt;=22,22,"")</f>
        <v>22</v>
      </c>
      <c r="D55" s="188">
        <f>IF($E$11&gt;=22,22,"")</f>
        <v>22</v>
      </c>
      <c r="E55" s="188"/>
      <c r="F55" s="188"/>
      <c r="G55" s="188"/>
      <c r="H55" s="181">
        <f t="shared" si="1"/>
        <v>185261.90710045281</v>
      </c>
      <c r="I55" s="181"/>
      <c r="J55" s="181"/>
      <c r="K55" s="181"/>
      <c r="L55" s="181"/>
    </row>
    <row r="56" spans="3:13" x14ac:dyDescent="0.3">
      <c r="C56" s="97">
        <f>IF($E$11&gt;=23,23,"")</f>
        <v>23</v>
      </c>
      <c r="D56" s="188">
        <f>IF($E$11&gt;=23,23,"")</f>
        <v>23</v>
      </c>
      <c r="E56" s="188"/>
      <c r="F56" s="188"/>
      <c r="G56" s="188"/>
      <c r="H56" s="181">
        <f t="shared" si="1"/>
        <v>185261.90710045281</v>
      </c>
      <c r="I56" s="181"/>
      <c r="J56" s="181"/>
      <c r="K56" s="181"/>
      <c r="L56" s="181"/>
    </row>
    <row r="57" spans="3:13" x14ac:dyDescent="0.3">
      <c r="C57" s="97">
        <f>IF($E$11&gt;=24,24,"")</f>
        <v>24</v>
      </c>
      <c r="D57" s="188">
        <f>IF($E$11&gt;=24,24,"")</f>
        <v>24</v>
      </c>
      <c r="E57" s="188"/>
      <c r="F57" s="188"/>
      <c r="G57" s="188"/>
      <c r="H57" s="181">
        <f t="shared" si="1"/>
        <v>185261.90710045281</v>
      </c>
      <c r="I57" s="181"/>
      <c r="J57" s="181"/>
      <c r="K57" s="181"/>
      <c r="L57" s="181"/>
    </row>
    <row r="58" spans="3:13" x14ac:dyDescent="0.3">
      <c r="C58" s="97">
        <f>IF($E$11&gt;=25,25,"")</f>
        <v>25</v>
      </c>
      <c r="D58" s="188">
        <f>IF($E$11&gt;=25,25,"")</f>
        <v>25</v>
      </c>
      <c r="E58" s="188"/>
      <c r="F58" s="188"/>
      <c r="G58" s="188"/>
      <c r="H58" s="181">
        <f t="shared" si="1"/>
        <v>185261.90710045281</v>
      </c>
      <c r="I58" s="181"/>
      <c r="J58" s="181"/>
      <c r="K58" s="181"/>
      <c r="L58" s="181"/>
    </row>
    <row r="59" spans="3:13" x14ac:dyDescent="0.3">
      <c r="C59" s="97"/>
    </row>
    <row r="60" spans="3:13" hidden="1" x14ac:dyDescent="0.3"/>
    <row r="61" spans="3:13" hidden="1" x14ac:dyDescent="0.3">
      <c r="E61" s="28"/>
    </row>
  </sheetData>
  <sheetProtection algorithmName="SHA-512" hashValue="8N2w5yqI6ZEQ1fYoiewFQHdx9c40YGv7S1iH8e4LeAkpckNRlyGVob/W9dER89qFdLNZDbE/sIz8W4a2dNPLQw==" saltValue="UgC83TCUVoYunfBDqj1jYQ==" spinCount="100000" sheet="1" objects="1" scenarios="1"/>
  <mergeCells count="93">
    <mergeCell ref="H54:L54"/>
    <mergeCell ref="H55:L55"/>
    <mergeCell ref="H56:L56"/>
    <mergeCell ref="H57:L57"/>
    <mergeCell ref="H58:L58"/>
    <mergeCell ref="D54:G54"/>
    <mergeCell ref="D55:G55"/>
    <mergeCell ref="D56:G56"/>
    <mergeCell ref="D57:G57"/>
    <mergeCell ref="D58:G58"/>
    <mergeCell ref="D1:L2"/>
    <mergeCell ref="H51:L51"/>
    <mergeCell ref="H52:L52"/>
    <mergeCell ref="H53:L53"/>
    <mergeCell ref="D33:G33"/>
    <mergeCell ref="D34:G34"/>
    <mergeCell ref="D43:G43"/>
    <mergeCell ref="D42:G42"/>
    <mergeCell ref="D41:G41"/>
    <mergeCell ref="D40:G40"/>
    <mergeCell ref="D39:G39"/>
    <mergeCell ref="D38:G38"/>
    <mergeCell ref="D37:G37"/>
    <mergeCell ref="D36:G36"/>
    <mergeCell ref="D35:G35"/>
    <mergeCell ref="D53:G53"/>
    <mergeCell ref="D52:G52"/>
    <mergeCell ref="H46:L46"/>
    <mergeCell ref="H47:L47"/>
    <mergeCell ref="H48:L48"/>
    <mergeCell ref="H49:L49"/>
    <mergeCell ref="H50:L50"/>
    <mergeCell ref="D51:G51"/>
    <mergeCell ref="D50:G50"/>
    <mergeCell ref="D49:G49"/>
    <mergeCell ref="D48:G48"/>
    <mergeCell ref="D47:G47"/>
    <mergeCell ref="D46:G46"/>
    <mergeCell ref="D45:G45"/>
    <mergeCell ref="D44:G44"/>
    <mergeCell ref="J27:L27"/>
    <mergeCell ref="J26:L26"/>
    <mergeCell ref="J24:L24"/>
    <mergeCell ref="H31:I31"/>
    <mergeCell ref="C32:L32"/>
    <mergeCell ref="H33:L33"/>
    <mergeCell ref="H38:L38"/>
    <mergeCell ref="H39:L39"/>
    <mergeCell ref="H40:L40"/>
    <mergeCell ref="H41:L41"/>
    <mergeCell ref="H42:L42"/>
    <mergeCell ref="H43:L43"/>
    <mergeCell ref="H44:L44"/>
    <mergeCell ref="H45:L45"/>
    <mergeCell ref="H37:L37"/>
    <mergeCell ref="J17:L17"/>
    <mergeCell ref="D22:I22"/>
    <mergeCell ref="D21:I21"/>
    <mergeCell ref="D20:I20"/>
    <mergeCell ref="J23:L23"/>
    <mergeCell ref="E24:G24"/>
    <mergeCell ref="J25:L25"/>
    <mergeCell ref="E18:I18"/>
    <mergeCell ref="J20:L20"/>
    <mergeCell ref="J21:L21"/>
    <mergeCell ref="J22:L22"/>
    <mergeCell ref="J29:L29"/>
    <mergeCell ref="M13:N13"/>
    <mergeCell ref="H34:L34"/>
    <mergeCell ref="H35:L35"/>
    <mergeCell ref="H36:L36"/>
    <mergeCell ref="E25:I25"/>
    <mergeCell ref="E10:G10"/>
    <mergeCell ref="J10:L10"/>
    <mergeCell ref="E15:I15"/>
    <mergeCell ref="E16:I16"/>
    <mergeCell ref="J16:L16"/>
    <mergeCell ref="D25:D30"/>
    <mergeCell ref="E29:I29"/>
    <mergeCell ref="E30:I30"/>
    <mergeCell ref="J30:L30"/>
    <mergeCell ref="E4:L4"/>
    <mergeCell ref="E5:L5"/>
    <mergeCell ref="E6:L6"/>
    <mergeCell ref="D15:D18"/>
    <mergeCell ref="E7:L7"/>
    <mergeCell ref="E17:I17"/>
    <mergeCell ref="E9:L9"/>
    <mergeCell ref="E8:L8"/>
    <mergeCell ref="E13:L13"/>
    <mergeCell ref="E12:L12"/>
    <mergeCell ref="H10:I10"/>
    <mergeCell ref="E11:L11"/>
  </mergeCells>
  <phoneticPr fontId="2" type="noConversion"/>
  <conditionalFormatting sqref="E8:L8">
    <cfRule type="expression" dxfId="0" priority="1">
      <formula>$E$7="New"</formula>
    </cfRule>
  </conditionalFormatting>
  <dataValidations count="3">
    <dataValidation type="list" allowBlank="1" showInputMessage="1" showErrorMessage="1" sqref="E11:L11">
      <formula1>"1,2,3,4,5,6,7,8,9,10,11,12,13,14,15,16,17,18,19,20,21,22,23,24,25"</formula1>
    </dataValidation>
    <dataValidation allowBlank="1" showErrorMessage="1" sqref="E5:L5 J16:L18"/>
    <dataValidation type="list" allowBlank="1" showInputMessage="1" showErrorMessage="1" sqref="J27:L27">
      <formula1>"0.13%,0.15%,0.16%"</formula1>
    </dataValidation>
  </dataValidations>
  <pageMargins left="0.75" right="0.75" top="0.47" bottom="0.77" header="0.6" footer="0.5"/>
  <pageSetup scale="7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t Model">
          <x14:formula1>
            <xm:f>Sheet2!$E$5:$E$83</xm:f>
          </x14:formula1>
          <xm:sqref>E6:L6</xm:sqref>
        </x14:dataValidation>
        <x14:dataValidation type="list" allowBlank="1" showInputMessage="1" showErrorMessage="1">
          <x14:formula1>
            <xm:f>Sheet2!$S$40:$S$41</xm:f>
          </x14:formula1>
          <xm:sqref>E12:L12</xm:sqref>
        </x14:dataValidation>
        <x14:dataValidation type="list" allowBlank="1" showInputMessage="1" showErrorMessage="1" promptTitle="Select Insurance" prompt="Select Insurance">
          <x14:formula1>
            <xm:f>Sheet2!$N$22:$N$37</xm:f>
          </x14:formula1>
          <xm:sqref>J15:L15</xm:sqref>
        </x14:dataValidation>
        <x14:dataValidation type="list" allowBlank="1" showInputMessage="1" showErrorMessage="1">
          <x14:formula1>
            <xm:f>Sheet4!$B$4:$B$7</xm:f>
          </x14:formula1>
          <xm:sqref>E7:L7</xm:sqref>
        </x14:dataValidation>
        <x14:dataValidation type="list" allowBlank="1" showInputMessage="1" showErrorMessage="1" promptTitle="Select Rate">
          <x14:formula1>
            <xm:f>Sheet2!$P$42:$P$45</xm:f>
          </x14:formula1>
          <xm:sqref>E13:L13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showGridLines="0" topLeftCell="A3" zoomScale="85" zoomScaleNormal="85" workbookViewId="0">
      <selection activeCell="D15" sqref="D15"/>
    </sheetView>
  </sheetViews>
  <sheetFormatPr defaultColWidth="0" defaultRowHeight="12.75" zeroHeight="1" x14ac:dyDescent="0.2"/>
  <cols>
    <col min="1" max="2" width="9.140625" customWidth="1"/>
    <col min="3" max="6" width="33.85546875" customWidth="1"/>
    <col min="7" max="7" width="9.140625" customWidth="1"/>
    <col min="8" max="16384" width="9.140625" hidden="1"/>
  </cols>
  <sheetData>
    <row r="1" spans="3:6" hidden="1" x14ac:dyDescent="0.2"/>
    <row r="2" spans="3:6" hidden="1" x14ac:dyDescent="0.2"/>
    <row r="3" spans="3:6" x14ac:dyDescent="0.2"/>
    <row r="4" spans="3:6" ht="21.75" customHeight="1" x14ac:dyDescent="0.2">
      <c r="C4" s="102" t="s">
        <v>226</v>
      </c>
      <c r="D4" s="103" t="s">
        <v>229</v>
      </c>
      <c r="E4" s="103" t="s">
        <v>248</v>
      </c>
      <c r="F4" s="103" t="s">
        <v>240</v>
      </c>
    </row>
    <row r="5" spans="3:6" ht="21" customHeight="1" x14ac:dyDescent="0.2">
      <c r="C5" s="195" t="s">
        <v>246</v>
      </c>
      <c r="D5" s="195"/>
      <c r="E5" s="195"/>
      <c r="F5" s="195"/>
    </row>
    <row r="6" spans="3:6" ht="15.75" x14ac:dyDescent="0.2">
      <c r="C6" s="102" t="s">
        <v>225</v>
      </c>
      <c r="D6" s="103">
        <v>1.4999999999999999E-2</v>
      </c>
      <c r="E6" s="103">
        <v>1.4E-2</v>
      </c>
      <c r="F6" s="103">
        <v>2.2499999999999999E-2</v>
      </c>
    </row>
    <row r="7" spans="3:6" ht="15.75" x14ac:dyDescent="0.2">
      <c r="C7" s="102" t="s">
        <v>192</v>
      </c>
      <c r="D7" s="103">
        <v>1.9900000000000001E-2</v>
      </c>
      <c r="E7" s="103">
        <v>1.9900000000000001E-2</v>
      </c>
      <c r="F7" s="103">
        <v>2.5000000000000001E-2</v>
      </c>
    </row>
    <row r="8" spans="3:6" ht="22.5" customHeight="1" x14ac:dyDescent="0.2">
      <c r="C8" s="195" t="s">
        <v>247</v>
      </c>
      <c r="D8" s="195"/>
      <c r="E8" s="195"/>
      <c r="F8" s="195"/>
    </row>
    <row r="9" spans="3:6" ht="15.75" x14ac:dyDescent="0.2">
      <c r="C9" s="102" t="s">
        <v>225</v>
      </c>
      <c r="D9" s="103">
        <v>2.9000000000000001E-2</v>
      </c>
      <c r="E9" s="103">
        <v>1.4E-2</v>
      </c>
      <c r="F9" s="103">
        <v>2.2499999999999999E-2</v>
      </c>
    </row>
    <row r="10" spans="3:6" ht="15.75" x14ac:dyDescent="0.2">
      <c r="C10" s="102" t="s">
        <v>192</v>
      </c>
      <c r="D10" s="103">
        <v>3.5000000000000003E-2</v>
      </c>
      <c r="E10" s="103">
        <v>1.9900000000000001E-2</v>
      </c>
      <c r="F10" s="103">
        <v>2.5000000000000001E-2</v>
      </c>
    </row>
    <row r="11" spans="3:6" x14ac:dyDescent="0.2"/>
    <row r="12" spans="3:6" x14ac:dyDescent="0.2"/>
    <row r="13" spans="3:6" ht="22.5" customHeight="1" x14ac:dyDescent="0.2">
      <c r="C13" s="101" t="s">
        <v>226</v>
      </c>
      <c r="D13" s="101" t="s">
        <v>227</v>
      </c>
      <c r="E13" s="101" t="s">
        <v>228</v>
      </c>
    </row>
    <row r="14" spans="3:6" ht="42" customHeight="1" x14ac:dyDescent="0.2">
      <c r="C14" s="196" t="s">
        <v>229</v>
      </c>
      <c r="D14" s="98" t="s">
        <v>230</v>
      </c>
      <c r="E14" s="98" t="s">
        <v>234</v>
      </c>
    </row>
    <row r="15" spans="3:6" ht="45" x14ac:dyDescent="0.2">
      <c r="C15" s="196"/>
      <c r="D15" s="98" t="s">
        <v>231</v>
      </c>
      <c r="E15" s="98" t="s">
        <v>235</v>
      </c>
    </row>
    <row r="16" spans="3:6" ht="56.25" x14ac:dyDescent="0.2">
      <c r="C16" s="196"/>
      <c r="D16" s="98" t="s">
        <v>232</v>
      </c>
      <c r="E16" s="98" t="s">
        <v>236</v>
      </c>
    </row>
    <row r="17" spans="3:5" ht="33.75" x14ac:dyDescent="0.2">
      <c r="C17" s="196"/>
      <c r="D17" s="98" t="s">
        <v>233</v>
      </c>
      <c r="E17" s="98" t="s">
        <v>237</v>
      </c>
    </row>
    <row r="18" spans="3:5" ht="22.5" x14ac:dyDescent="0.2">
      <c r="C18" s="99" t="s">
        <v>238</v>
      </c>
      <c r="D18" s="98" t="s">
        <v>239</v>
      </c>
      <c r="E18" s="98" t="s">
        <v>234</v>
      </c>
    </row>
    <row r="19" spans="3:5" ht="45" x14ac:dyDescent="0.2">
      <c r="C19" s="196" t="s">
        <v>240</v>
      </c>
      <c r="D19" s="98" t="s">
        <v>241</v>
      </c>
      <c r="E19" s="98" t="s">
        <v>244</v>
      </c>
    </row>
    <row r="20" spans="3:5" ht="45" x14ac:dyDescent="0.2">
      <c r="C20" s="196"/>
      <c r="D20" s="98" t="s">
        <v>242</v>
      </c>
      <c r="E20" s="98" t="s">
        <v>245</v>
      </c>
    </row>
    <row r="21" spans="3:5" ht="22.5" x14ac:dyDescent="0.2">
      <c r="C21" s="196"/>
      <c r="D21" s="98" t="s">
        <v>243</v>
      </c>
      <c r="E21" s="100"/>
    </row>
    <row r="22" spans="3:5" x14ac:dyDescent="0.2"/>
    <row r="23" spans="3:5" x14ac:dyDescent="0.2"/>
  </sheetData>
  <mergeCells count="4">
    <mergeCell ref="C5:F5"/>
    <mergeCell ref="C8:F8"/>
    <mergeCell ref="C14:C17"/>
    <mergeCell ref="C19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3"/>
  <sheetViews>
    <sheetView workbookViewId="0">
      <selection activeCell="E13" sqref="E13:L13"/>
    </sheetView>
  </sheetViews>
  <sheetFormatPr defaultRowHeight="12.75" x14ac:dyDescent="0.2"/>
  <cols>
    <col min="4" max="4" width="12.7109375" bestFit="1" customWidth="1"/>
    <col min="5" max="5" width="9.85546875" bestFit="1" customWidth="1"/>
    <col min="7" max="7" width="11.28515625" bestFit="1" customWidth="1"/>
    <col min="8" max="8" width="11" bestFit="1" customWidth="1"/>
    <col min="15" max="15" width="10.85546875" bestFit="1" customWidth="1"/>
    <col min="16" max="16" width="11.5703125" bestFit="1" customWidth="1"/>
    <col min="18" max="18" width="11" bestFit="1" customWidth="1"/>
  </cols>
  <sheetData>
    <row r="2" spans="2:18" x14ac:dyDescent="0.2">
      <c r="B2" s="117" t="s">
        <v>269</v>
      </c>
      <c r="C2" s="118"/>
      <c r="D2" s="119">
        <v>43873</v>
      </c>
    </row>
    <row r="3" spans="2:18" x14ac:dyDescent="0.2">
      <c r="B3" s="120"/>
      <c r="C3" s="120"/>
      <c r="D3" s="120"/>
      <c r="E3" s="120"/>
      <c r="F3" s="120"/>
      <c r="G3" s="120"/>
      <c r="H3" s="120"/>
      <c r="I3" s="120"/>
      <c r="J3" s="120"/>
    </row>
    <row r="4" spans="2:18" x14ac:dyDescent="0.2">
      <c r="B4" s="117" t="s">
        <v>270</v>
      </c>
      <c r="C4" s="118"/>
      <c r="D4" s="121">
        <f>SUM('RAG Loan Calculator'!J21:L21)</f>
        <v>12000000</v>
      </c>
      <c r="E4" s="120"/>
      <c r="F4" s="120" t="s">
        <v>271</v>
      </c>
      <c r="G4" s="122">
        <f>PMT($D$8/12,$D$6,-$D$4)</f>
        <v>185261.90710045281</v>
      </c>
      <c r="H4" s="120"/>
      <c r="I4" s="123" t="s">
        <v>272</v>
      </c>
      <c r="J4" s="122">
        <f>SUM(G14:G73)</f>
        <v>11041296.342175951</v>
      </c>
    </row>
    <row r="5" spans="2:18" x14ac:dyDescent="0.2">
      <c r="B5" s="123"/>
      <c r="C5" s="124"/>
      <c r="D5" s="125"/>
      <c r="E5" s="120"/>
      <c r="F5" s="120"/>
      <c r="G5" s="125"/>
      <c r="H5" s="120"/>
      <c r="I5" s="120"/>
      <c r="J5" s="125"/>
    </row>
    <row r="6" spans="2:18" x14ac:dyDescent="0.2">
      <c r="B6" s="117" t="s">
        <v>12</v>
      </c>
      <c r="C6" s="118"/>
      <c r="D6" s="126">
        <f>'RAG Loan Calculator'!$M$11*12</f>
        <v>300</v>
      </c>
      <c r="E6" s="120"/>
      <c r="F6" s="120" t="s">
        <v>273</v>
      </c>
      <c r="G6" s="127">
        <f>O14</f>
        <v>0</v>
      </c>
      <c r="H6" s="120"/>
      <c r="I6" s="123" t="s">
        <v>274</v>
      </c>
      <c r="J6" s="127">
        <f>SUM(Q14:Q73)</f>
        <v>0</v>
      </c>
    </row>
    <row r="7" spans="2:18" x14ac:dyDescent="0.2">
      <c r="B7" s="123"/>
      <c r="C7" s="128"/>
      <c r="D7" s="120"/>
      <c r="E7" s="120"/>
      <c r="F7" s="120"/>
      <c r="G7" s="125"/>
      <c r="H7" s="120"/>
      <c r="I7" s="120"/>
      <c r="J7" s="125"/>
    </row>
    <row r="8" spans="2:18" x14ac:dyDescent="0.2">
      <c r="B8" s="117" t="s">
        <v>275</v>
      </c>
      <c r="C8" s="118"/>
      <c r="D8" s="129">
        <f>'RAG Loan Calculator'!O13</f>
        <v>0.18329999999999999</v>
      </c>
      <c r="E8" s="120"/>
      <c r="F8" s="120" t="s">
        <v>276</v>
      </c>
      <c r="G8" s="130">
        <f>G6-G4</f>
        <v>-185261.90710045281</v>
      </c>
      <c r="H8" s="120"/>
      <c r="I8" s="120" t="s">
        <v>276</v>
      </c>
      <c r="J8" s="130">
        <f>J6-J4</f>
        <v>-11041296.342175951</v>
      </c>
    </row>
    <row r="9" spans="2:18" x14ac:dyDescent="0.2">
      <c r="B9" s="123"/>
      <c r="C9" s="128"/>
      <c r="D9" s="120"/>
      <c r="E9" s="120"/>
      <c r="F9" s="120"/>
      <c r="G9" s="120"/>
      <c r="H9" s="120"/>
      <c r="I9" s="120"/>
      <c r="J9" s="120"/>
    </row>
    <row r="10" spans="2:18" x14ac:dyDescent="0.2">
      <c r="B10" s="197"/>
      <c r="C10" s="197"/>
      <c r="D10" s="197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2:18" x14ac:dyDescent="0.2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2:18" ht="19.5" thickBot="1" x14ac:dyDescent="0.25">
      <c r="C12" s="198" t="s">
        <v>263</v>
      </c>
      <c r="D12" s="198"/>
      <c r="E12" s="198"/>
      <c r="F12" s="198"/>
      <c r="G12" s="198"/>
      <c r="H12" s="198"/>
      <c r="I12" s="120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2:18" ht="13.5" thickTop="1" x14ac:dyDescent="0.2">
      <c r="C13" s="109" t="s">
        <v>264</v>
      </c>
      <c r="D13" s="110" t="s">
        <v>265</v>
      </c>
      <c r="E13" s="110" t="s">
        <v>7</v>
      </c>
      <c r="F13" s="110" t="s">
        <v>266</v>
      </c>
      <c r="G13" s="110" t="s">
        <v>267</v>
      </c>
      <c r="H13" s="111" t="s">
        <v>268</v>
      </c>
      <c r="J13" s="109"/>
      <c r="K13" s="110"/>
      <c r="L13" s="131"/>
      <c r="M13" s="132"/>
      <c r="N13" s="132"/>
      <c r="O13" s="110"/>
      <c r="P13" s="110"/>
      <c r="Q13" s="110"/>
      <c r="R13" s="111"/>
    </row>
    <row r="14" spans="2:18" x14ac:dyDescent="0.2">
      <c r="C14" s="112">
        <v>1</v>
      </c>
      <c r="D14" s="113" t="str">
        <f>CONCATENATE(IF(DAY(D2)&gt;1,IF(MONTH(D2)&lt;11,(MONTH(D2)+2),MONTH(D2)-10),IF(MONTH(D2)&lt;12,(MONTH(D2)+1),MONTH(D2)-11)),"/",2,"/",IF(DAY(D2)&gt;1,IF(MONTH(D2)&lt;11,YEAR(D2),((YEAR(D2)+1))),IF(MONTH(D2)&lt;12,(YEAR(D2)),YEAR(D2)+1)))</f>
        <v>4/2/2020</v>
      </c>
      <c r="E14" s="114">
        <f>IF($B14&lt;=$D$6,PMT($D$8/12,$D$6,-$D$4),"")+IF(DAY(D2)&gt;1,(((CONCATENATE(IF(MONTH(D2)&lt;12,MONTH(D2)+1,1),"/",2,"/",IF(MONTH(D2)&lt;12,YEAR(D2),YEAR(D2)+1)))-D2)*($D$8/360)*$D$4),0)</f>
        <v>301351.90710045281</v>
      </c>
      <c r="F14" s="114">
        <f>IF($C14&lt;=$D$6,PPMT($D$8/12,$C14,$D$6,-$D$4),"")</f>
        <v>1961.9071004528269</v>
      </c>
      <c r="G14" s="114">
        <f>IF($C14&lt;=$D$6,IPMT($D$8/12,$C14,$D$6,-$D$4),"")+IF(DAY(D2)&gt;1,(((CONCATENATE(IF(MONTH(D2)&lt;12,MONTH(D2)+1,1),"/",2,"/",IF(MONTH(D2)&lt;12,YEAR(D2),YEAR(D2)+1)))-D2)*($D$8/360)*$D$4),0)</f>
        <v>299389.99999999994</v>
      </c>
      <c r="H14" s="115">
        <f>D4-F14</f>
        <v>11998038.092899548</v>
      </c>
      <c r="J14" s="112"/>
      <c r="K14" s="133"/>
      <c r="L14" s="134"/>
      <c r="M14" s="135"/>
      <c r="N14" s="136"/>
      <c r="O14" s="114"/>
      <c r="P14" s="114"/>
      <c r="Q14" s="114"/>
      <c r="R14" s="115"/>
    </row>
    <row r="15" spans="2:18" x14ac:dyDescent="0.2">
      <c r="C15" s="112">
        <v>2</v>
      </c>
      <c r="D15" s="113" t="str">
        <f>CONCATENATE(IF(MONTH(D14)&lt;12,MONTH(D14)+1,MONTH(D14)-11),"/",DAY(D14),"/",IF(MONTH(D14)&lt;12,YEAR(D14),YEAR(D14)+1))</f>
        <v>5/2/2020</v>
      </c>
      <c r="E15" s="114">
        <f>IF($C15&lt;=$D$6,PMT($D$8/12,$D$6,-$D$4),"")</f>
        <v>185261.90710045281</v>
      </c>
      <c r="F15" s="114">
        <f>IF($C15&lt;=$D$6,PPMT($D$8/12,$C15,$D$6,-$D$4),"")</f>
        <v>1991.8752314122437</v>
      </c>
      <c r="G15" s="114">
        <f>IF($C15&lt;=$D$6,IPMT($D$8/12,$C15,$D$6,-$D$4),"")</f>
        <v>183270.03186904054</v>
      </c>
      <c r="H15" s="115">
        <f t="shared" ref="H15:H78" si="0">IF($B15&lt;=$C$6,H14-F15,"")</f>
        <v>11996046.217668135</v>
      </c>
      <c r="J15" s="112"/>
      <c r="K15" s="133"/>
      <c r="L15" s="134"/>
      <c r="M15" s="135"/>
      <c r="N15" s="136"/>
      <c r="O15" s="114"/>
      <c r="P15" s="137"/>
      <c r="Q15" s="114"/>
      <c r="R15" s="115"/>
    </row>
    <row r="16" spans="2:18" x14ac:dyDescent="0.2">
      <c r="C16" s="112">
        <v>3</v>
      </c>
      <c r="D16" s="113" t="str">
        <f>CONCATENATE(IF(MONTH(D15)&lt;12,MONTH(D15)+1,MONTH(D15)-11),"/",DAY(D15),"/",IF(MONTH(D15)&lt;12,YEAR(D15),YEAR(D15)+1))</f>
        <v>6/2/2020</v>
      </c>
      <c r="E16" s="114">
        <f t="shared" ref="E16:E79" si="1">IF($C16&lt;=$D$6,PMT($D$8/12,$D$6,-$D$4),"")</f>
        <v>185261.90710045281</v>
      </c>
      <c r="F16" s="114">
        <f t="shared" ref="F16:F79" si="2">IF($C16&lt;=$D$6,PPMT($D$8/12,$C16,$D$6,-$D$4),"")</f>
        <v>2022.3011255720671</v>
      </c>
      <c r="G16" s="114">
        <f t="shared" ref="G16:G79" si="3">IF($C16&lt;=$D$6,IPMT($D$8/12,$C16,$D$6,-$D$4),"")</f>
        <v>183239.60597488072</v>
      </c>
      <c r="H16" s="115">
        <f t="shared" si="0"/>
        <v>11994023.916542562</v>
      </c>
      <c r="J16" s="112"/>
      <c r="K16" s="133"/>
      <c r="L16" s="134"/>
      <c r="M16" s="135"/>
      <c r="N16" s="136"/>
      <c r="O16" s="114"/>
      <c r="P16" s="114"/>
      <c r="Q16" s="114"/>
      <c r="R16" s="115"/>
    </row>
    <row r="17" spans="3:18" x14ac:dyDescent="0.2">
      <c r="C17" s="116">
        <v>4</v>
      </c>
      <c r="D17" s="113" t="str">
        <f>CONCATENATE(IF(MONTH(D16)&lt;12,MONTH(D16)+1,MONTH(D16)-11),"/",DAY(D16),"/",IF(MONTH(D16)&lt;12,YEAR(D16),YEAR(D16)+1))</f>
        <v>7/2/2020</v>
      </c>
      <c r="E17" s="114">
        <f t="shared" si="1"/>
        <v>185261.90710045281</v>
      </c>
      <c r="F17" s="114">
        <f t="shared" si="2"/>
        <v>2053.1917752651802</v>
      </c>
      <c r="G17" s="114">
        <f t="shared" si="3"/>
        <v>183208.7153251876</v>
      </c>
      <c r="H17" s="115">
        <f t="shared" si="0"/>
        <v>11991970.724767296</v>
      </c>
      <c r="J17" s="116"/>
      <c r="K17" s="133"/>
      <c r="L17" s="134"/>
      <c r="M17" s="135"/>
      <c r="N17" s="136"/>
      <c r="O17" s="114"/>
      <c r="P17" s="114"/>
      <c r="Q17" s="114"/>
      <c r="R17" s="115"/>
    </row>
    <row r="18" spans="3:18" x14ac:dyDescent="0.2">
      <c r="C18" s="116">
        <v>5</v>
      </c>
      <c r="D18" s="113" t="str">
        <f t="shared" ref="D18:D81" si="4">CONCATENATE(IF(MONTH(D17)&lt;12,MONTH(D17)+1,MONTH(D17)-11),"/",DAY(D17),"/",IF(MONTH(D17)&lt;12,YEAR(D17),YEAR(D17)+1))</f>
        <v>8/2/2020</v>
      </c>
      <c r="E18" s="114">
        <f t="shared" si="1"/>
        <v>185261.90710045281</v>
      </c>
      <c r="F18" s="114">
        <f t="shared" si="2"/>
        <v>2084.5542796323562</v>
      </c>
      <c r="G18" s="114">
        <f t="shared" si="3"/>
        <v>183177.35282082047</v>
      </c>
      <c r="H18" s="115">
        <f t="shared" si="0"/>
        <v>11989886.170487663</v>
      </c>
      <c r="J18" s="116"/>
      <c r="K18" s="133"/>
      <c r="L18" s="134"/>
      <c r="M18" s="135"/>
      <c r="N18" s="136"/>
      <c r="O18" s="114"/>
      <c r="P18" s="114"/>
      <c r="Q18" s="114"/>
      <c r="R18" s="115"/>
    </row>
    <row r="19" spans="3:18" x14ac:dyDescent="0.2">
      <c r="C19" s="112">
        <v>6</v>
      </c>
      <c r="D19" s="113" t="str">
        <f t="shared" si="4"/>
        <v>9/2/2020</v>
      </c>
      <c r="E19" s="114">
        <f t="shared" si="1"/>
        <v>185261.90710045281</v>
      </c>
      <c r="F19" s="114">
        <f t="shared" si="2"/>
        <v>2116.3958462537403</v>
      </c>
      <c r="G19" s="114">
        <f t="shared" si="3"/>
        <v>183145.51125419905</v>
      </c>
      <c r="H19" s="115">
        <f t="shared" si="0"/>
        <v>11987769.77464141</v>
      </c>
      <c r="J19" s="112"/>
      <c r="K19" s="133"/>
      <c r="L19" s="134"/>
      <c r="M19" s="135"/>
      <c r="N19" s="136"/>
      <c r="O19" s="114"/>
      <c r="P19" s="114"/>
      <c r="Q19" s="114"/>
      <c r="R19" s="115"/>
    </row>
    <row r="20" spans="3:18" x14ac:dyDescent="0.2">
      <c r="C20" s="116">
        <v>7</v>
      </c>
      <c r="D20" s="113" t="str">
        <f t="shared" si="4"/>
        <v>10/2/2020</v>
      </c>
      <c r="E20" s="114">
        <f t="shared" si="1"/>
        <v>185261.90710045281</v>
      </c>
      <c r="F20" s="114">
        <f t="shared" si="2"/>
        <v>2148.7237928052659</v>
      </c>
      <c r="G20" s="114">
        <f t="shared" si="3"/>
        <v>183113.1833076475</v>
      </c>
      <c r="H20" s="115">
        <f t="shared" si="0"/>
        <v>11985621.050848605</v>
      </c>
      <c r="J20" s="116"/>
      <c r="K20" s="133"/>
      <c r="L20" s="134"/>
      <c r="M20" s="135"/>
      <c r="N20" s="136"/>
      <c r="O20" s="114"/>
      <c r="P20" s="114"/>
      <c r="Q20" s="114"/>
      <c r="R20" s="115"/>
    </row>
    <row r="21" spans="3:18" x14ac:dyDescent="0.2">
      <c r="C21" s="116">
        <v>8</v>
      </c>
      <c r="D21" s="113" t="str">
        <f t="shared" si="4"/>
        <v>11/2/2020</v>
      </c>
      <c r="E21" s="114">
        <f t="shared" si="1"/>
        <v>185261.90710045281</v>
      </c>
      <c r="F21" s="114">
        <f t="shared" si="2"/>
        <v>2181.5455487403665</v>
      </c>
      <c r="G21" s="114">
        <f t="shared" si="3"/>
        <v>183080.36155171244</v>
      </c>
      <c r="H21" s="115">
        <f t="shared" si="0"/>
        <v>11983439.505299864</v>
      </c>
      <c r="J21" s="116"/>
      <c r="K21" s="133"/>
      <c r="L21" s="134"/>
      <c r="M21" s="135"/>
      <c r="N21" s="136"/>
      <c r="O21" s="114"/>
      <c r="P21" s="114"/>
      <c r="Q21" s="114"/>
      <c r="R21" s="115"/>
    </row>
    <row r="22" spans="3:18" x14ac:dyDescent="0.2">
      <c r="C22" s="112">
        <v>9</v>
      </c>
      <c r="D22" s="113" t="str">
        <f t="shared" si="4"/>
        <v>12/2/2020</v>
      </c>
      <c r="E22" s="114">
        <f t="shared" si="1"/>
        <v>185261.90710045281</v>
      </c>
      <c r="F22" s="114">
        <f t="shared" si="2"/>
        <v>2214.8686569973752</v>
      </c>
      <c r="G22" s="114">
        <f t="shared" si="3"/>
        <v>183047.03844345544</v>
      </c>
      <c r="H22" s="115">
        <f t="shared" si="0"/>
        <v>11981224.636642868</v>
      </c>
      <c r="J22" s="112"/>
      <c r="K22" s="133"/>
      <c r="L22" s="134"/>
      <c r="M22" s="135"/>
      <c r="N22" s="136"/>
      <c r="O22" s="114"/>
      <c r="P22" s="114"/>
      <c r="Q22" s="114"/>
      <c r="R22" s="115"/>
    </row>
    <row r="23" spans="3:18" x14ac:dyDescent="0.2">
      <c r="C23" s="116">
        <v>10</v>
      </c>
      <c r="D23" s="113" t="str">
        <f t="shared" si="4"/>
        <v>1/2/2021</v>
      </c>
      <c r="E23" s="114">
        <f t="shared" si="1"/>
        <v>185261.90710045281</v>
      </c>
      <c r="F23" s="114">
        <f t="shared" si="2"/>
        <v>2248.7007757330102</v>
      </c>
      <c r="G23" s="114">
        <f t="shared" si="3"/>
        <v>183013.20632471979</v>
      </c>
      <c r="H23" s="115">
        <f t="shared" si="0"/>
        <v>11978975.935867134</v>
      </c>
      <c r="J23" s="116"/>
      <c r="K23" s="133"/>
      <c r="L23" s="134"/>
      <c r="M23" s="135"/>
      <c r="N23" s="136"/>
      <c r="O23" s="114"/>
      <c r="P23" s="114"/>
      <c r="Q23" s="114"/>
      <c r="R23" s="115"/>
    </row>
    <row r="24" spans="3:18" x14ac:dyDescent="0.2">
      <c r="C24" s="116">
        <v>11</v>
      </c>
      <c r="D24" s="113" t="str">
        <f t="shared" si="4"/>
        <v>2/2/2021</v>
      </c>
      <c r="E24" s="114">
        <f t="shared" si="1"/>
        <v>185261.90710045281</v>
      </c>
      <c r="F24" s="114">
        <f t="shared" si="2"/>
        <v>2283.0496800823321</v>
      </c>
      <c r="G24" s="114">
        <f t="shared" si="3"/>
        <v>182978.85742037048</v>
      </c>
      <c r="H24" s="115">
        <f t="shared" si="0"/>
        <v>11976692.886187052</v>
      </c>
      <c r="J24" s="116"/>
      <c r="K24" s="133"/>
      <c r="L24" s="134"/>
      <c r="M24" s="135"/>
      <c r="N24" s="136"/>
      <c r="O24" s="114"/>
      <c r="P24" s="114"/>
      <c r="Q24" s="114"/>
      <c r="R24" s="115"/>
    </row>
    <row r="25" spans="3:18" x14ac:dyDescent="0.2">
      <c r="C25" s="112">
        <v>12</v>
      </c>
      <c r="D25" s="113" t="str">
        <f t="shared" si="4"/>
        <v>3/2/2021</v>
      </c>
      <c r="E25" s="114">
        <f t="shared" si="1"/>
        <v>185261.90710045281</v>
      </c>
      <c r="F25" s="114">
        <f t="shared" si="2"/>
        <v>2317.923263945589</v>
      </c>
      <c r="G25" s="114">
        <f t="shared" si="3"/>
        <v>182943.98383650722</v>
      </c>
      <c r="H25" s="115">
        <f t="shared" si="0"/>
        <v>11974374.962923108</v>
      </c>
      <c r="J25" s="112"/>
      <c r="K25" s="133"/>
      <c r="L25" s="134"/>
      <c r="M25" s="135"/>
      <c r="N25" s="136"/>
      <c r="O25" s="114"/>
      <c r="P25" s="114"/>
      <c r="Q25" s="114"/>
      <c r="R25" s="115"/>
    </row>
    <row r="26" spans="3:18" x14ac:dyDescent="0.2">
      <c r="C26" s="116">
        <v>13</v>
      </c>
      <c r="D26" s="113" t="str">
        <f t="shared" si="4"/>
        <v>4/2/2021</v>
      </c>
      <c r="E26" s="114">
        <f t="shared" si="1"/>
        <v>185261.90710045281</v>
      </c>
      <c r="F26" s="114">
        <f t="shared" si="2"/>
        <v>2353.3295418023581</v>
      </c>
      <c r="G26" s="114">
        <f t="shared" si="3"/>
        <v>182908.57755865046</v>
      </c>
      <c r="H26" s="115">
        <f t="shared" si="0"/>
        <v>11972021.633381305</v>
      </c>
      <c r="J26" s="116"/>
      <c r="K26" s="133"/>
      <c r="L26" s="134"/>
      <c r="M26" s="135"/>
      <c r="N26" s="136"/>
      <c r="O26" s="114"/>
      <c r="P26" s="114"/>
      <c r="Q26" s="114"/>
      <c r="R26" s="115"/>
    </row>
    <row r="27" spans="3:18" x14ac:dyDescent="0.2">
      <c r="C27" s="116">
        <v>14</v>
      </c>
      <c r="D27" s="113" t="str">
        <f t="shared" si="4"/>
        <v>5/2/2021</v>
      </c>
      <c r="E27" s="114">
        <f t="shared" si="1"/>
        <v>185261.90710045281</v>
      </c>
      <c r="F27" s="114">
        <f t="shared" si="2"/>
        <v>2389.2766505533887</v>
      </c>
      <c r="G27" s="114">
        <f t="shared" si="3"/>
        <v>182872.63044989941</v>
      </c>
      <c r="H27" s="115">
        <f t="shared" si="0"/>
        <v>11969632.356730752</v>
      </c>
      <c r="J27" s="116"/>
      <c r="K27" s="133"/>
      <c r="L27" s="134"/>
      <c r="M27" s="135"/>
      <c r="N27" s="136"/>
      <c r="O27" s="114"/>
      <c r="P27" s="114"/>
      <c r="Q27" s="114"/>
      <c r="R27" s="115"/>
    </row>
    <row r="28" spans="3:18" x14ac:dyDescent="0.2">
      <c r="C28" s="112">
        <v>15</v>
      </c>
      <c r="D28" s="113" t="str">
        <f t="shared" si="4"/>
        <v>6/2/2021</v>
      </c>
      <c r="E28" s="114">
        <f t="shared" si="1"/>
        <v>185261.90710045281</v>
      </c>
      <c r="F28" s="114">
        <f t="shared" si="2"/>
        <v>2425.7728513905918</v>
      </c>
      <c r="G28" s="114">
        <f t="shared" si="3"/>
        <v>182836.13424906222</v>
      </c>
      <c r="H28" s="115">
        <f t="shared" si="0"/>
        <v>11967206.583879361</v>
      </c>
      <c r="J28" s="112"/>
      <c r="K28" s="133"/>
      <c r="L28" s="134"/>
      <c r="M28" s="135"/>
      <c r="N28" s="136"/>
      <c r="O28" s="114"/>
      <c r="P28" s="114"/>
      <c r="Q28" s="114"/>
      <c r="R28" s="115"/>
    </row>
    <row r="29" spans="3:18" x14ac:dyDescent="0.2">
      <c r="C29" s="116">
        <v>16</v>
      </c>
      <c r="D29" s="113" t="str">
        <f t="shared" si="4"/>
        <v>7/2/2021</v>
      </c>
      <c r="E29" s="114">
        <f t="shared" si="1"/>
        <v>185261.90710045281</v>
      </c>
      <c r="F29" s="114">
        <f t="shared" si="2"/>
        <v>2462.8265316955826</v>
      </c>
      <c r="G29" s="114">
        <f t="shared" si="3"/>
        <v>182799.08056875723</v>
      </c>
      <c r="H29" s="115">
        <f t="shared" si="0"/>
        <v>11964743.757347666</v>
      </c>
      <c r="J29" s="116"/>
      <c r="K29" s="133"/>
      <c r="L29" s="134"/>
      <c r="M29" s="135"/>
      <c r="N29" s="136"/>
      <c r="O29" s="114"/>
      <c r="P29" s="114"/>
      <c r="Q29" s="114"/>
      <c r="R29" s="115"/>
    </row>
    <row r="30" spans="3:18" x14ac:dyDescent="0.2">
      <c r="C30" s="116">
        <v>17</v>
      </c>
      <c r="D30" s="113" t="str">
        <f t="shared" si="4"/>
        <v>8/2/2021</v>
      </c>
      <c r="E30" s="114">
        <f t="shared" si="1"/>
        <v>185261.90710045281</v>
      </c>
      <c r="F30" s="114">
        <f t="shared" si="2"/>
        <v>2500.4462069672327</v>
      </c>
      <c r="G30" s="114">
        <f t="shared" si="3"/>
        <v>182761.46089348558</v>
      </c>
      <c r="H30" s="115">
        <f t="shared" si="0"/>
        <v>11962243.311140699</v>
      </c>
      <c r="J30" s="116"/>
      <c r="K30" s="133"/>
      <c r="L30" s="134"/>
      <c r="M30" s="135"/>
      <c r="N30" s="136"/>
      <c r="O30" s="114"/>
      <c r="P30" s="114"/>
      <c r="Q30" s="114"/>
      <c r="R30" s="115"/>
    </row>
    <row r="31" spans="3:18" x14ac:dyDescent="0.2">
      <c r="C31" s="112">
        <v>18</v>
      </c>
      <c r="D31" s="113" t="str">
        <f t="shared" si="4"/>
        <v>9/2/2021</v>
      </c>
      <c r="E31" s="114">
        <f t="shared" si="1"/>
        <v>185261.90710045281</v>
      </c>
      <c r="F31" s="114">
        <f t="shared" si="2"/>
        <v>2538.6405227786572</v>
      </c>
      <c r="G31" s="114">
        <f t="shared" si="3"/>
        <v>182723.26657767413</v>
      </c>
      <c r="H31" s="115">
        <f t="shared" si="0"/>
        <v>11959704.670617921</v>
      </c>
      <c r="J31" s="112"/>
      <c r="K31" s="133"/>
      <c r="L31" s="134"/>
      <c r="M31" s="135"/>
      <c r="N31" s="136"/>
      <c r="O31" s="114"/>
      <c r="P31" s="114"/>
      <c r="Q31" s="114"/>
      <c r="R31" s="115"/>
    </row>
    <row r="32" spans="3:18" x14ac:dyDescent="0.2">
      <c r="C32" s="116">
        <v>19</v>
      </c>
      <c r="D32" s="113" t="str">
        <f t="shared" si="4"/>
        <v>10/2/2021</v>
      </c>
      <c r="E32" s="114">
        <f t="shared" si="1"/>
        <v>185261.90710045281</v>
      </c>
      <c r="F32" s="114">
        <f t="shared" si="2"/>
        <v>2577.418256764101</v>
      </c>
      <c r="G32" s="114">
        <f t="shared" si="3"/>
        <v>182684.48884368871</v>
      </c>
      <c r="H32" s="115">
        <f t="shared" si="0"/>
        <v>11957127.252361158</v>
      </c>
      <c r="J32" s="116"/>
      <c r="K32" s="133"/>
      <c r="L32" s="134"/>
      <c r="M32" s="135"/>
      <c r="N32" s="136"/>
      <c r="O32" s="114"/>
      <c r="P32" s="114"/>
      <c r="Q32" s="114"/>
      <c r="R32" s="115"/>
    </row>
    <row r="33" spans="3:18" x14ac:dyDescent="0.2">
      <c r="C33" s="116">
        <v>20</v>
      </c>
      <c r="D33" s="113" t="str">
        <f t="shared" si="4"/>
        <v>11/2/2021</v>
      </c>
      <c r="E33" s="114">
        <f t="shared" si="1"/>
        <v>185261.90710045281</v>
      </c>
      <c r="F33" s="114">
        <f t="shared" si="2"/>
        <v>2616.7883206361753</v>
      </c>
      <c r="G33" s="114">
        <f t="shared" si="3"/>
        <v>182645.11877981664</v>
      </c>
      <c r="H33" s="115">
        <f t="shared" si="0"/>
        <v>11954510.464040522</v>
      </c>
      <c r="J33" s="116"/>
      <c r="K33" s="133"/>
      <c r="L33" s="134"/>
      <c r="M33" s="135"/>
      <c r="N33" s="136"/>
      <c r="O33" s="114"/>
      <c r="P33" s="114"/>
      <c r="Q33" s="114"/>
      <c r="R33" s="115"/>
    </row>
    <row r="34" spans="3:18" x14ac:dyDescent="0.2">
      <c r="C34" s="112">
        <v>21</v>
      </c>
      <c r="D34" s="113" t="str">
        <f t="shared" si="4"/>
        <v>12/2/2021</v>
      </c>
      <c r="E34" s="114">
        <f t="shared" si="1"/>
        <v>185261.90710045281</v>
      </c>
      <c r="F34" s="114">
        <f t="shared" si="2"/>
        <v>2656.7597622338922</v>
      </c>
      <c r="G34" s="114">
        <f t="shared" si="3"/>
        <v>182605.1473382189</v>
      </c>
      <c r="H34" s="115">
        <f t="shared" si="0"/>
        <v>11951853.704278288</v>
      </c>
      <c r="J34" s="112"/>
      <c r="K34" s="133"/>
      <c r="L34" s="134"/>
      <c r="M34" s="135"/>
      <c r="N34" s="136"/>
      <c r="O34" s="114"/>
      <c r="P34" s="114"/>
      <c r="Q34" s="114"/>
      <c r="R34" s="115"/>
    </row>
    <row r="35" spans="3:18" x14ac:dyDescent="0.2">
      <c r="C35" s="116">
        <v>22</v>
      </c>
      <c r="D35" s="113" t="str">
        <f t="shared" si="4"/>
        <v>1/2/2022</v>
      </c>
      <c r="E35" s="114">
        <f t="shared" si="1"/>
        <v>185261.90710045281</v>
      </c>
      <c r="F35" s="114">
        <f t="shared" si="2"/>
        <v>2697.3417676020149</v>
      </c>
      <c r="G35" s="114">
        <f t="shared" si="3"/>
        <v>182564.56533285079</v>
      </c>
      <c r="H35" s="115">
        <f t="shared" si="0"/>
        <v>11949156.362510687</v>
      </c>
      <c r="J35" s="116"/>
      <c r="K35" s="133"/>
      <c r="L35" s="134"/>
      <c r="M35" s="135"/>
      <c r="N35" s="136"/>
      <c r="O35" s="114"/>
      <c r="P35" s="114"/>
      <c r="Q35" s="114"/>
      <c r="R35" s="115"/>
    </row>
    <row r="36" spans="3:18" x14ac:dyDescent="0.2">
      <c r="C36" s="116">
        <v>23</v>
      </c>
      <c r="D36" s="113" t="str">
        <f t="shared" si="4"/>
        <v>2/2/2022</v>
      </c>
      <c r="E36" s="114">
        <f t="shared" si="1"/>
        <v>185261.90710045281</v>
      </c>
      <c r="F36" s="114">
        <f t="shared" si="2"/>
        <v>2738.5436631021357</v>
      </c>
      <c r="G36" s="114">
        <f t="shared" si="3"/>
        <v>182523.36343735066</v>
      </c>
      <c r="H36" s="115">
        <f t="shared" si="0"/>
        <v>11946417.818847585</v>
      </c>
      <c r="J36" s="116"/>
      <c r="K36" s="133"/>
      <c r="L36" s="134"/>
      <c r="M36" s="135"/>
      <c r="N36" s="136"/>
      <c r="O36" s="114"/>
      <c r="P36" s="114"/>
      <c r="Q36" s="114"/>
      <c r="R36" s="115"/>
    </row>
    <row r="37" spans="3:18" x14ac:dyDescent="0.2">
      <c r="C37" s="112">
        <v>24</v>
      </c>
      <c r="D37" s="113" t="str">
        <f t="shared" si="4"/>
        <v>3/2/2022</v>
      </c>
      <c r="E37" s="114">
        <f t="shared" si="1"/>
        <v>185261.90710045281</v>
      </c>
      <c r="F37" s="114">
        <f t="shared" si="2"/>
        <v>2780.3749175560206</v>
      </c>
      <c r="G37" s="114">
        <f t="shared" si="3"/>
        <v>182481.53218289677</v>
      </c>
      <c r="H37" s="115">
        <f t="shared" si="0"/>
        <v>11943637.44393003</v>
      </c>
      <c r="J37" s="112"/>
      <c r="K37" s="133"/>
      <c r="L37" s="134"/>
      <c r="M37" s="135"/>
      <c r="N37" s="136"/>
      <c r="O37" s="114"/>
      <c r="P37" s="114"/>
      <c r="Q37" s="114"/>
      <c r="R37" s="115"/>
    </row>
    <row r="38" spans="3:18" x14ac:dyDescent="0.2">
      <c r="C38" s="116">
        <v>25</v>
      </c>
      <c r="D38" s="113" t="str">
        <f t="shared" si="4"/>
        <v>4/2/2022</v>
      </c>
      <c r="E38" s="114">
        <f t="shared" si="1"/>
        <v>185261.90710045281</v>
      </c>
      <c r="F38" s="114">
        <f t="shared" si="2"/>
        <v>2822.8451444216885</v>
      </c>
      <c r="G38" s="114">
        <f t="shared" si="3"/>
        <v>182439.0619560311</v>
      </c>
      <c r="H38" s="115">
        <f t="shared" si="0"/>
        <v>11940814.598785609</v>
      </c>
      <c r="J38" s="116"/>
      <c r="K38" s="133"/>
      <c r="L38" s="134"/>
      <c r="M38" s="135"/>
      <c r="N38" s="136"/>
      <c r="O38" s="114"/>
      <c r="P38" s="114"/>
      <c r="Q38" s="114"/>
      <c r="R38" s="115"/>
    </row>
    <row r="39" spans="3:18" x14ac:dyDescent="0.2">
      <c r="C39" s="116">
        <v>26</v>
      </c>
      <c r="D39" s="113" t="str">
        <f t="shared" si="4"/>
        <v>5/2/2022</v>
      </c>
      <c r="E39" s="114">
        <f t="shared" si="1"/>
        <v>185261.90710045281</v>
      </c>
      <c r="F39" s="114">
        <f t="shared" si="2"/>
        <v>2865.9641040027295</v>
      </c>
      <c r="G39" s="114">
        <f t="shared" si="3"/>
        <v>182395.94299645009</v>
      </c>
      <c r="H39" s="115">
        <f t="shared" si="0"/>
        <v>11937948.634681607</v>
      </c>
      <c r="J39" s="116"/>
      <c r="K39" s="133"/>
      <c r="L39" s="134"/>
      <c r="M39" s="135"/>
      <c r="N39" s="136"/>
      <c r="O39" s="114"/>
      <c r="P39" s="114"/>
      <c r="Q39" s="114"/>
      <c r="R39" s="115"/>
    </row>
    <row r="40" spans="3:18" x14ac:dyDescent="0.2">
      <c r="C40" s="112">
        <v>27</v>
      </c>
      <c r="D40" s="113" t="str">
        <f t="shared" si="4"/>
        <v>6/2/2022</v>
      </c>
      <c r="E40" s="114">
        <f t="shared" si="1"/>
        <v>185261.90710045281</v>
      </c>
      <c r="F40" s="114">
        <f t="shared" si="2"/>
        <v>2909.741705691371</v>
      </c>
      <c r="G40" s="114">
        <f t="shared" si="3"/>
        <v>182352.16539476142</v>
      </c>
      <c r="H40" s="115">
        <f t="shared" si="0"/>
        <v>11935038.892975915</v>
      </c>
      <c r="J40" s="112"/>
      <c r="K40" s="133"/>
      <c r="L40" s="134"/>
      <c r="M40" s="135"/>
      <c r="N40" s="136"/>
      <c r="O40" s="114"/>
      <c r="P40" s="114"/>
      <c r="Q40" s="114"/>
      <c r="R40" s="115"/>
    </row>
    <row r="41" spans="3:18" x14ac:dyDescent="0.2">
      <c r="C41" s="116">
        <v>28</v>
      </c>
      <c r="D41" s="113" t="str">
        <f t="shared" si="4"/>
        <v>7/2/2022</v>
      </c>
      <c r="E41" s="114">
        <f t="shared" si="1"/>
        <v>185261.90710045281</v>
      </c>
      <c r="F41" s="114">
        <f t="shared" si="2"/>
        <v>2954.1880102458067</v>
      </c>
      <c r="G41" s="114">
        <f t="shared" si="3"/>
        <v>182307.71909020701</v>
      </c>
      <c r="H41" s="115">
        <f t="shared" si="0"/>
        <v>11932084.70496567</v>
      </c>
      <c r="J41" s="116"/>
      <c r="K41" s="133"/>
      <c r="L41" s="134"/>
      <c r="M41" s="135"/>
      <c r="N41" s="136"/>
      <c r="O41" s="114"/>
      <c r="P41" s="114"/>
      <c r="Q41" s="114"/>
      <c r="R41" s="115"/>
    </row>
    <row r="42" spans="3:18" x14ac:dyDescent="0.2">
      <c r="C42" s="116">
        <v>29</v>
      </c>
      <c r="D42" s="113" t="str">
        <f t="shared" si="4"/>
        <v>8/2/2022</v>
      </c>
      <c r="E42" s="114">
        <f t="shared" si="1"/>
        <v>185261.90710045281</v>
      </c>
      <c r="F42" s="114">
        <f t="shared" si="2"/>
        <v>2999.3132321023113</v>
      </c>
      <c r="G42" s="114">
        <f t="shared" si="3"/>
        <v>182262.59386835046</v>
      </c>
      <c r="H42" s="115">
        <f t="shared" si="0"/>
        <v>11929085.391733568</v>
      </c>
      <c r="J42" s="116"/>
      <c r="K42" s="133"/>
      <c r="L42" s="134"/>
      <c r="M42" s="135"/>
      <c r="N42" s="136"/>
      <c r="O42" s="114"/>
      <c r="P42" s="114"/>
      <c r="Q42" s="114"/>
      <c r="R42" s="115"/>
    </row>
    <row r="43" spans="3:18" x14ac:dyDescent="0.2">
      <c r="C43" s="112">
        <v>30</v>
      </c>
      <c r="D43" s="113" t="str">
        <f t="shared" si="4"/>
        <v>9/2/2022</v>
      </c>
      <c r="E43" s="114">
        <f t="shared" si="1"/>
        <v>185261.90710045281</v>
      </c>
      <c r="F43" s="114">
        <f t="shared" si="2"/>
        <v>3045.1277417226743</v>
      </c>
      <c r="G43" s="114">
        <f t="shared" si="3"/>
        <v>182216.77935873013</v>
      </c>
      <c r="H43" s="115">
        <f t="shared" si="0"/>
        <v>11926040.263991846</v>
      </c>
      <c r="J43" s="112"/>
      <c r="K43" s="133"/>
      <c r="L43" s="134"/>
      <c r="M43" s="135"/>
      <c r="N43" s="136"/>
      <c r="O43" s="114"/>
      <c r="P43" s="114"/>
      <c r="Q43" s="114"/>
      <c r="R43" s="115"/>
    </row>
    <row r="44" spans="3:18" x14ac:dyDescent="0.2">
      <c r="C44" s="116">
        <v>31</v>
      </c>
      <c r="D44" s="113" t="str">
        <f t="shared" si="4"/>
        <v>10/2/2022</v>
      </c>
      <c r="E44" s="114">
        <f t="shared" si="1"/>
        <v>185261.90710045281</v>
      </c>
      <c r="F44" s="114">
        <f t="shared" si="2"/>
        <v>3091.6420679774878</v>
      </c>
      <c r="G44" s="114">
        <f t="shared" si="3"/>
        <v>182170.26503247532</v>
      </c>
      <c r="H44" s="115">
        <f t="shared" si="0"/>
        <v>11922948.621923868</v>
      </c>
      <c r="J44" s="116"/>
      <c r="K44" s="133"/>
      <c r="L44" s="134"/>
      <c r="M44" s="135"/>
      <c r="N44" s="136"/>
      <c r="O44" s="114"/>
      <c r="P44" s="114"/>
      <c r="Q44" s="114"/>
      <c r="R44" s="115"/>
    </row>
    <row r="45" spans="3:18" x14ac:dyDescent="0.2">
      <c r="C45" s="116">
        <v>32</v>
      </c>
      <c r="D45" s="113" t="str">
        <f t="shared" si="4"/>
        <v>11/2/2022</v>
      </c>
      <c r="E45" s="114">
        <f t="shared" si="1"/>
        <v>185261.90710045281</v>
      </c>
      <c r="F45" s="114">
        <f t="shared" si="2"/>
        <v>3138.8669005658435</v>
      </c>
      <c r="G45" s="114">
        <f t="shared" si="3"/>
        <v>182123.04019988695</v>
      </c>
      <c r="H45" s="115">
        <f t="shared" si="0"/>
        <v>11919809.755023303</v>
      </c>
      <c r="J45" s="116"/>
      <c r="K45" s="133"/>
      <c r="L45" s="134"/>
      <c r="M45" s="135"/>
      <c r="N45" s="136"/>
      <c r="O45" s="114"/>
      <c r="P45" s="114"/>
      <c r="Q45" s="114"/>
      <c r="R45" s="115"/>
    </row>
    <row r="46" spans="3:18" x14ac:dyDescent="0.2">
      <c r="C46" s="112">
        <v>33</v>
      </c>
      <c r="D46" s="113" t="str">
        <f t="shared" si="4"/>
        <v>12/2/2022</v>
      </c>
      <c r="E46" s="114">
        <f t="shared" si="1"/>
        <v>185261.90710045281</v>
      </c>
      <c r="F46" s="114">
        <f t="shared" si="2"/>
        <v>3186.8130924719867</v>
      </c>
      <c r="G46" s="114">
        <f t="shared" si="3"/>
        <v>182075.09400798081</v>
      </c>
      <c r="H46" s="115">
        <f t="shared" si="0"/>
        <v>11916622.94193083</v>
      </c>
      <c r="J46" s="112"/>
      <c r="K46" s="133"/>
      <c r="L46" s="134"/>
      <c r="M46" s="135"/>
      <c r="N46" s="136"/>
      <c r="O46" s="114"/>
      <c r="P46" s="114"/>
      <c r="Q46" s="114"/>
      <c r="R46" s="115"/>
    </row>
    <row r="47" spans="3:18" x14ac:dyDescent="0.2">
      <c r="C47" s="116">
        <v>34</v>
      </c>
      <c r="D47" s="113" t="str">
        <f t="shared" si="4"/>
        <v>1/2/2023</v>
      </c>
      <c r="E47" s="114">
        <f t="shared" si="1"/>
        <v>185261.90710045281</v>
      </c>
      <c r="F47" s="114">
        <f t="shared" si="2"/>
        <v>3235.4916624594962</v>
      </c>
      <c r="G47" s="114">
        <f t="shared" si="3"/>
        <v>182026.4154379933</v>
      </c>
      <c r="H47" s="115">
        <f t="shared" si="0"/>
        <v>11913387.450268371</v>
      </c>
      <c r="J47" s="116"/>
      <c r="K47" s="133"/>
      <c r="L47" s="134"/>
      <c r="M47" s="135"/>
      <c r="N47" s="136"/>
      <c r="O47" s="114"/>
      <c r="P47" s="114"/>
      <c r="Q47" s="114"/>
      <c r="R47" s="115"/>
    </row>
    <row r="48" spans="3:18" x14ac:dyDescent="0.2">
      <c r="C48" s="116">
        <v>35</v>
      </c>
      <c r="D48" s="113" t="str">
        <f t="shared" si="4"/>
        <v>2/2/2023</v>
      </c>
      <c r="E48" s="114">
        <f t="shared" si="1"/>
        <v>185261.90710045281</v>
      </c>
      <c r="F48" s="114">
        <f t="shared" si="2"/>
        <v>3284.9137976035645</v>
      </c>
      <c r="G48" s="114">
        <f t="shared" si="3"/>
        <v>181976.99330284924</v>
      </c>
      <c r="H48" s="115">
        <f t="shared" si="0"/>
        <v>11910102.536470767</v>
      </c>
      <c r="J48" s="116"/>
      <c r="K48" s="133"/>
      <c r="L48" s="134"/>
      <c r="M48" s="135"/>
      <c r="N48" s="136"/>
      <c r="O48" s="114"/>
      <c r="P48" s="114"/>
      <c r="Q48" s="114"/>
      <c r="R48" s="115"/>
    </row>
    <row r="49" spans="3:18" x14ac:dyDescent="0.2">
      <c r="C49" s="112">
        <v>36</v>
      </c>
      <c r="D49" s="113" t="str">
        <f t="shared" si="4"/>
        <v>3/2/2023</v>
      </c>
      <c r="E49" s="114">
        <f t="shared" si="1"/>
        <v>185261.90710045281</v>
      </c>
      <c r="F49" s="114">
        <f t="shared" si="2"/>
        <v>3335.090855861959</v>
      </c>
      <c r="G49" s="114">
        <f t="shared" si="3"/>
        <v>181926.81624459082</v>
      </c>
      <c r="H49" s="115">
        <f t="shared" si="0"/>
        <v>11906767.445614906</v>
      </c>
      <c r="J49" s="112"/>
      <c r="K49" s="133"/>
      <c r="L49" s="134"/>
      <c r="M49" s="135"/>
      <c r="N49" s="136"/>
      <c r="O49" s="114"/>
      <c r="P49" s="114"/>
      <c r="Q49" s="114"/>
      <c r="R49" s="115"/>
    </row>
    <row r="50" spans="3:18" x14ac:dyDescent="0.2">
      <c r="C50" s="116">
        <v>37</v>
      </c>
      <c r="D50" s="113" t="str">
        <f t="shared" si="4"/>
        <v>4/2/2023</v>
      </c>
      <c r="E50" s="114">
        <f t="shared" si="1"/>
        <v>185261.90710045281</v>
      </c>
      <c r="F50" s="114">
        <f t="shared" si="2"/>
        <v>3386.034368685253</v>
      </c>
      <c r="G50" s="114">
        <f t="shared" si="3"/>
        <v>181875.87273176757</v>
      </c>
      <c r="H50" s="115">
        <f t="shared" si="0"/>
        <v>11903381.411246222</v>
      </c>
      <c r="J50" s="116"/>
      <c r="K50" s="133"/>
      <c r="L50" s="134"/>
      <c r="M50" s="135"/>
      <c r="N50" s="136"/>
      <c r="O50" s="114"/>
      <c r="P50" s="114"/>
      <c r="Q50" s="114"/>
      <c r="R50" s="115"/>
    </row>
    <row r="51" spans="3:18" x14ac:dyDescent="0.2">
      <c r="C51" s="116">
        <v>38</v>
      </c>
      <c r="D51" s="113" t="str">
        <f t="shared" si="4"/>
        <v>5/2/2023</v>
      </c>
      <c r="E51" s="114">
        <f t="shared" si="1"/>
        <v>185261.90710045281</v>
      </c>
      <c r="F51" s="114">
        <f t="shared" si="2"/>
        <v>3437.7560436669187</v>
      </c>
      <c r="G51" s="114">
        <f t="shared" si="3"/>
        <v>181824.15105678586</v>
      </c>
      <c r="H51" s="115">
        <f t="shared" si="0"/>
        <v>11899943.655202555</v>
      </c>
      <c r="J51" s="116"/>
      <c r="K51" s="133"/>
      <c r="L51" s="134"/>
      <c r="M51" s="135"/>
      <c r="N51" s="136"/>
      <c r="O51" s="114"/>
      <c r="P51" s="114"/>
      <c r="Q51" s="114"/>
      <c r="R51" s="115"/>
    </row>
    <row r="52" spans="3:18" x14ac:dyDescent="0.2">
      <c r="C52" s="112">
        <v>39</v>
      </c>
      <c r="D52" s="113" t="str">
        <f t="shared" si="4"/>
        <v>6/2/2023</v>
      </c>
      <c r="E52" s="114">
        <f t="shared" si="1"/>
        <v>185261.90710045281</v>
      </c>
      <c r="F52" s="114">
        <f t="shared" si="2"/>
        <v>3490.2677672339305</v>
      </c>
      <c r="G52" s="114">
        <f t="shared" si="3"/>
        <v>181771.63933321886</v>
      </c>
      <c r="H52" s="115">
        <f t="shared" si="0"/>
        <v>11896453.387435321</v>
      </c>
      <c r="J52" s="112"/>
      <c r="K52" s="133"/>
      <c r="L52" s="134"/>
      <c r="M52" s="135"/>
      <c r="N52" s="136"/>
      <c r="O52" s="114"/>
      <c r="P52" s="114"/>
      <c r="Q52" s="114"/>
      <c r="R52" s="115"/>
    </row>
    <row r="53" spans="3:18" x14ac:dyDescent="0.2">
      <c r="C53" s="116">
        <v>40</v>
      </c>
      <c r="D53" s="113" t="str">
        <f t="shared" si="4"/>
        <v>7/2/2023</v>
      </c>
      <c r="E53" s="114">
        <f t="shared" si="1"/>
        <v>185261.90710045281</v>
      </c>
      <c r="F53" s="114">
        <f t="shared" si="2"/>
        <v>3543.5816073784285</v>
      </c>
      <c r="G53" s="114">
        <f t="shared" si="3"/>
        <v>181718.32549307437</v>
      </c>
      <c r="H53" s="115">
        <f t="shared" si="0"/>
        <v>11892909.805827942</v>
      </c>
      <c r="J53" s="116"/>
      <c r="K53" s="133"/>
      <c r="L53" s="134"/>
      <c r="M53" s="135"/>
      <c r="N53" s="136"/>
      <c r="O53" s="114"/>
      <c r="P53" s="114"/>
      <c r="Q53" s="114"/>
      <c r="R53" s="115"/>
    </row>
    <row r="54" spans="3:18" x14ac:dyDescent="0.2">
      <c r="C54" s="116">
        <v>41</v>
      </c>
      <c r="D54" s="113" t="str">
        <f t="shared" si="4"/>
        <v>8/2/2023</v>
      </c>
      <c r="E54" s="114">
        <f t="shared" si="1"/>
        <v>185261.90710045281</v>
      </c>
      <c r="F54" s="114">
        <f t="shared" si="2"/>
        <v>3597.709816431136</v>
      </c>
      <c r="G54" s="114">
        <f t="shared" si="3"/>
        <v>181664.19728402165</v>
      </c>
      <c r="H54" s="115">
        <f t="shared" si="0"/>
        <v>11889312.09601151</v>
      </c>
      <c r="J54" s="116"/>
      <c r="K54" s="133"/>
      <c r="L54" s="134"/>
      <c r="M54" s="135"/>
      <c r="N54" s="136"/>
      <c r="O54" s="114"/>
      <c r="P54" s="114"/>
      <c r="Q54" s="114"/>
      <c r="R54" s="115"/>
    </row>
    <row r="55" spans="3:18" x14ac:dyDescent="0.2">
      <c r="C55" s="112">
        <v>42</v>
      </c>
      <c r="D55" s="113" t="str">
        <f t="shared" si="4"/>
        <v>9/2/2023</v>
      </c>
      <c r="E55" s="114">
        <f t="shared" si="1"/>
        <v>185261.90710045281</v>
      </c>
      <c r="F55" s="114">
        <f t="shared" si="2"/>
        <v>3652.6648338771215</v>
      </c>
      <c r="G55" s="114">
        <f t="shared" si="3"/>
        <v>181609.24226657569</v>
      </c>
      <c r="H55" s="115">
        <f t="shared" si="0"/>
        <v>11885659.431177633</v>
      </c>
      <c r="J55" s="112"/>
      <c r="K55" s="133"/>
      <c r="L55" s="134"/>
      <c r="M55" s="135"/>
      <c r="N55" s="136"/>
      <c r="O55" s="114"/>
      <c r="P55" s="114"/>
      <c r="Q55" s="114"/>
      <c r="R55" s="115"/>
    </row>
    <row r="56" spans="3:18" x14ac:dyDescent="0.2">
      <c r="C56" s="116">
        <v>43</v>
      </c>
      <c r="D56" s="113" t="str">
        <f t="shared" si="4"/>
        <v>10/2/2023</v>
      </c>
      <c r="E56" s="114">
        <f t="shared" si="1"/>
        <v>185261.90710045281</v>
      </c>
      <c r="F56" s="114">
        <f t="shared" si="2"/>
        <v>3708.4592892145943</v>
      </c>
      <c r="G56" s="114">
        <f t="shared" si="3"/>
        <v>181553.44781123821</v>
      </c>
      <c r="H56" s="115">
        <f t="shared" si="0"/>
        <v>11881950.971888417</v>
      </c>
      <c r="J56" s="116"/>
      <c r="K56" s="133"/>
      <c r="L56" s="134"/>
      <c r="M56" s="135"/>
      <c r="N56" s="136"/>
      <c r="O56" s="114"/>
      <c r="P56" s="114"/>
      <c r="Q56" s="114"/>
      <c r="R56" s="115"/>
    </row>
    <row r="57" spans="3:18" x14ac:dyDescent="0.2">
      <c r="C57" s="116">
        <v>44</v>
      </c>
      <c r="D57" s="113" t="str">
        <f t="shared" si="4"/>
        <v>11/2/2023</v>
      </c>
      <c r="E57" s="114">
        <f t="shared" si="1"/>
        <v>185261.90710045281</v>
      </c>
      <c r="F57" s="114">
        <f t="shared" si="2"/>
        <v>3765.1060048573472</v>
      </c>
      <c r="G57" s="114">
        <f t="shared" si="3"/>
        <v>181496.80109559544</v>
      </c>
      <c r="H57" s="115">
        <f t="shared" si="0"/>
        <v>11878185.865883561</v>
      </c>
      <c r="J57" s="116"/>
      <c r="K57" s="133"/>
      <c r="L57" s="134"/>
      <c r="M57" s="135"/>
      <c r="N57" s="136"/>
      <c r="O57" s="114"/>
      <c r="P57" s="114"/>
      <c r="Q57" s="114"/>
      <c r="R57" s="115"/>
    </row>
    <row r="58" spans="3:18" x14ac:dyDescent="0.2">
      <c r="C58" s="112">
        <v>45</v>
      </c>
      <c r="D58" s="113" t="str">
        <f t="shared" si="4"/>
        <v>12/2/2023</v>
      </c>
      <c r="E58" s="114">
        <f t="shared" si="1"/>
        <v>185261.90710045281</v>
      </c>
      <c r="F58" s="114">
        <f t="shared" si="2"/>
        <v>3822.6179990815422</v>
      </c>
      <c r="G58" s="114">
        <f t="shared" si="3"/>
        <v>181439.28910137125</v>
      </c>
      <c r="H58" s="115">
        <f t="shared" si="0"/>
        <v>11874363.247884478</v>
      </c>
      <c r="J58" s="112"/>
      <c r="K58" s="133"/>
      <c r="L58" s="134"/>
      <c r="M58" s="135"/>
      <c r="N58" s="136"/>
      <c r="O58" s="114"/>
      <c r="P58" s="114"/>
      <c r="Q58" s="114"/>
      <c r="R58" s="115"/>
    </row>
    <row r="59" spans="3:18" x14ac:dyDescent="0.2">
      <c r="C59" s="116">
        <v>46</v>
      </c>
      <c r="D59" s="113" t="str">
        <f t="shared" si="4"/>
        <v>1/2/2024</v>
      </c>
      <c r="E59" s="114">
        <f t="shared" si="1"/>
        <v>185261.90710045281</v>
      </c>
      <c r="F59" s="114">
        <f t="shared" si="2"/>
        <v>3881.0084890175131</v>
      </c>
      <c r="G59" s="114">
        <f t="shared" si="3"/>
        <v>181380.89861143529</v>
      </c>
      <c r="H59" s="115">
        <f t="shared" si="0"/>
        <v>11870482.23939546</v>
      </c>
      <c r="J59" s="116"/>
      <c r="K59" s="133"/>
      <c r="L59" s="134"/>
      <c r="M59" s="135"/>
      <c r="N59" s="136"/>
      <c r="O59" s="114"/>
      <c r="P59" s="114"/>
      <c r="Q59" s="114"/>
      <c r="R59" s="115"/>
    </row>
    <row r="60" spans="3:18" x14ac:dyDescent="0.2">
      <c r="C60" s="116">
        <v>47</v>
      </c>
      <c r="D60" s="113" t="str">
        <f t="shared" si="4"/>
        <v>2/2/2024</v>
      </c>
      <c r="E60" s="114">
        <f t="shared" si="1"/>
        <v>185261.90710045281</v>
      </c>
      <c r="F60" s="114">
        <f t="shared" si="2"/>
        <v>3940.290893687255</v>
      </c>
      <c r="G60" s="114">
        <f t="shared" si="3"/>
        <v>181321.61620676555</v>
      </c>
      <c r="H60" s="115">
        <f t="shared" si="0"/>
        <v>11866541.948501773</v>
      </c>
      <c r="J60" s="116"/>
      <c r="K60" s="133"/>
      <c r="L60" s="134"/>
      <c r="M60" s="135"/>
      <c r="N60" s="136"/>
      <c r="O60" s="114"/>
      <c r="P60" s="114"/>
      <c r="Q60" s="114"/>
      <c r="R60" s="115"/>
    </row>
    <row r="61" spans="3:18" x14ac:dyDescent="0.2">
      <c r="C61" s="112">
        <v>48</v>
      </c>
      <c r="D61" s="113" t="str">
        <f t="shared" si="4"/>
        <v>3/2/2024</v>
      </c>
      <c r="E61" s="114">
        <f t="shared" si="1"/>
        <v>185261.90710045281</v>
      </c>
      <c r="F61" s="114">
        <f t="shared" si="2"/>
        <v>4000.4788370883275</v>
      </c>
      <c r="G61" s="114">
        <f t="shared" si="3"/>
        <v>181261.42826336448</v>
      </c>
      <c r="H61" s="115">
        <f t="shared" si="0"/>
        <v>11862541.469664685</v>
      </c>
      <c r="J61" s="112"/>
      <c r="K61" s="133"/>
      <c r="L61" s="134"/>
      <c r="M61" s="135"/>
      <c r="N61" s="136"/>
      <c r="O61" s="114"/>
      <c r="P61" s="114"/>
      <c r="Q61" s="114"/>
      <c r="R61" s="115"/>
    </row>
    <row r="62" spans="3:18" x14ac:dyDescent="0.2">
      <c r="C62" s="116">
        <v>49</v>
      </c>
      <c r="D62" s="113" t="str">
        <f t="shared" si="4"/>
        <v>4/2/2024</v>
      </c>
      <c r="E62" s="114">
        <f t="shared" si="1"/>
        <v>185261.90710045281</v>
      </c>
      <c r="F62" s="114">
        <f t="shared" si="2"/>
        <v>4061.5861513248524</v>
      </c>
      <c r="G62" s="114">
        <f t="shared" si="3"/>
        <v>181200.32094912793</v>
      </c>
      <c r="H62" s="115">
        <f t="shared" si="0"/>
        <v>11858479.883513361</v>
      </c>
      <c r="J62" s="116"/>
      <c r="K62" s="133"/>
      <c r="L62" s="134"/>
      <c r="M62" s="135"/>
      <c r="N62" s="136"/>
      <c r="O62" s="114"/>
      <c r="P62" s="114"/>
      <c r="Q62" s="114"/>
      <c r="R62" s="115"/>
    </row>
    <row r="63" spans="3:18" x14ac:dyDescent="0.2">
      <c r="C63" s="116">
        <v>50</v>
      </c>
      <c r="D63" s="113" t="str">
        <f t="shared" si="4"/>
        <v>5/2/2024</v>
      </c>
      <c r="E63" s="114">
        <f t="shared" si="1"/>
        <v>185261.90710045281</v>
      </c>
      <c r="F63" s="114">
        <f t="shared" si="2"/>
        <v>4123.6268797863413</v>
      </c>
      <c r="G63" s="114">
        <f t="shared" si="3"/>
        <v>181138.28022066646</v>
      </c>
      <c r="H63" s="115">
        <f t="shared" si="0"/>
        <v>11854356.256633574</v>
      </c>
      <c r="J63" s="116"/>
      <c r="K63" s="133"/>
      <c r="L63" s="134"/>
      <c r="M63" s="135"/>
      <c r="N63" s="136"/>
      <c r="O63" s="114"/>
      <c r="P63" s="114"/>
      <c r="Q63" s="114"/>
      <c r="R63" s="115"/>
    </row>
    <row r="64" spans="3:18" x14ac:dyDescent="0.2">
      <c r="C64" s="112">
        <v>51</v>
      </c>
      <c r="D64" s="113" t="str">
        <f t="shared" si="4"/>
        <v>6/2/2024</v>
      </c>
      <c r="E64" s="114">
        <f t="shared" si="1"/>
        <v>185261.90710045281</v>
      </c>
      <c r="F64" s="114">
        <f t="shared" si="2"/>
        <v>4186.6152803750765</v>
      </c>
      <c r="G64" s="114">
        <f t="shared" si="3"/>
        <v>181075.29182007772</v>
      </c>
      <c r="H64" s="115">
        <f t="shared" si="0"/>
        <v>11850169.641353199</v>
      </c>
      <c r="J64" s="112"/>
      <c r="K64" s="133"/>
      <c r="L64" s="134"/>
      <c r="M64" s="135"/>
      <c r="N64" s="136"/>
      <c r="O64" s="114"/>
      <c r="P64" s="114"/>
      <c r="Q64" s="114"/>
      <c r="R64" s="115"/>
    </row>
    <row r="65" spans="3:18" x14ac:dyDescent="0.2">
      <c r="C65" s="116">
        <v>52</v>
      </c>
      <c r="D65" s="113" t="str">
        <f t="shared" si="4"/>
        <v>7/2/2024</v>
      </c>
      <c r="E65" s="114">
        <f t="shared" si="1"/>
        <v>185261.90710045281</v>
      </c>
      <c r="F65" s="114">
        <f t="shared" si="2"/>
        <v>4250.5658287828064</v>
      </c>
      <c r="G65" s="114">
        <f t="shared" si="3"/>
        <v>181011.34127166998</v>
      </c>
      <c r="H65" s="115">
        <f t="shared" si="0"/>
        <v>11845919.075524416</v>
      </c>
      <c r="J65" s="116"/>
      <c r="K65" s="133"/>
      <c r="L65" s="134"/>
      <c r="M65" s="135"/>
      <c r="N65" s="136"/>
      <c r="O65" s="114"/>
      <c r="P65" s="114"/>
      <c r="Q65" s="114"/>
      <c r="R65" s="115"/>
    </row>
    <row r="66" spans="3:18" x14ac:dyDescent="0.2">
      <c r="C66" s="116">
        <v>53</v>
      </c>
      <c r="D66" s="113" t="str">
        <f t="shared" si="4"/>
        <v>8/2/2024</v>
      </c>
      <c r="E66" s="114">
        <f t="shared" si="1"/>
        <v>185261.90710045281</v>
      </c>
      <c r="F66" s="114">
        <f t="shared" si="2"/>
        <v>4315.4932218174627</v>
      </c>
      <c r="G66" s="114">
        <f t="shared" si="3"/>
        <v>180946.41387863533</v>
      </c>
      <c r="H66" s="115">
        <f t="shared" si="0"/>
        <v>11841603.582302598</v>
      </c>
      <c r="J66" s="116"/>
      <c r="K66" s="133"/>
      <c r="L66" s="134"/>
      <c r="M66" s="135"/>
      <c r="N66" s="136"/>
      <c r="O66" s="114"/>
      <c r="P66" s="114"/>
      <c r="Q66" s="114"/>
      <c r="R66" s="115"/>
    </row>
    <row r="67" spans="3:18" x14ac:dyDescent="0.2">
      <c r="C67" s="112">
        <v>54</v>
      </c>
      <c r="D67" s="113" t="str">
        <f t="shared" si="4"/>
        <v>9/2/2024</v>
      </c>
      <c r="E67" s="114">
        <f t="shared" si="1"/>
        <v>185261.90710045281</v>
      </c>
      <c r="F67" s="114">
        <f t="shared" si="2"/>
        <v>4381.4123807807246</v>
      </c>
      <c r="G67" s="114">
        <f t="shared" si="3"/>
        <v>180880.49471967208</v>
      </c>
      <c r="H67" s="115">
        <f t="shared" si="0"/>
        <v>11837222.169921817</v>
      </c>
      <c r="J67" s="112"/>
      <c r="K67" s="133"/>
      <c r="L67" s="134"/>
      <c r="M67" s="135"/>
      <c r="N67" s="136"/>
      <c r="O67" s="114"/>
      <c r="P67" s="114"/>
      <c r="Q67" s="114"/>
      <c r="R67" s="115"/>
    </row>
    <row r="68" spans="3:18" x14ac:dyDescent="0.2">
      <c r="C68" s="116">
        <v>55</v>
      </c>
      <c r="D68" s="113" t="str">
        <f t="shared" si="4"/>
        <v>10/2/2024</v>
      </c>
      <c r="E68" s="114">
        <f t="shared" si="1"/>
        <v>185261.90710045281</v>
      </c>
      <c r="F68" s="114">
        <f t="shared" si="2"/>
        <v>4448.3384548971489</v>
      </c>
      <c r="G68" s="114">
        <f t="shared" si="3"/>
        <v>180813.56864555567</v>
      </c>
      <c r="H68" s="115">
        <f t="shared" si="0"/>
        <v>11832773.831466921</v>
      </c>
      <c r="J68" s="116"/>
      <c r="K68" s="133"/>
      <c r="L68" s="134"/>
      <c r="M68" s="135"/>
      <c r="N68" s="136"/>
      <c r="O68" s="114"/>
      <c r="P68" s="114"/>
      <c r="Q68" s="114"/>
      <c r="R68" s="115"/>
    </row>
    <row r="69" spans="3:18" x14ac:dyDescent="0.2">
      <c r="C69" s="116">
        <v>56</v>
      </c>
      <c r="D69" s="113" t="str">
        <f t="shared" si="4"/>
        <v>11/2/2024</v>
      </c>
      <c r="E69" s="114">
        <f t="shared" si="1"/>
        <v>185261.90710045281</v>
      </c>
      <c r="F69" s="114">
        <f t="shared" si="2"/>
        <v>4516.2868247957031</v>
      </c>
      <c r="G69" s="114">
        <f t="shared" si="3"/>
        <v>180745.6202756571</v>
      </c>
      <c r="H69" s="115">
        <f t="shared" si="0"/>
        <v>11828257.544642124</v>
      </c>
      <c r="J69" s="116"/>
      <c r="K69" s="133"/>
      <c r="L69" s="134"/>
      <c r="M69" s="135"/>
      <c r="N69" s="136"/>
      <c r="O69" s="114"/>
      <c r="P69" s="114"/>
      <c r="Q69" s="114"/>
      <c r="R69" s="115"/>
    </row>
    <row r="70" spans="3:18" x14ac:dyDescent="0.2">
      <c r="C70" s="112">
        <v>57</v>
      </c>
      <c r="D70" s="113" t="str">
        <f t="shared" si="4"/>
        <v>12/2/2024</v>
      </c>
      <c r="E70" s="114">
        <f t="shared" si="1"/>
        <v>185261.90710045281</v>
      </c>
      <c r="F70" s="114">
        <f t="shared" si="2"/>
        <v>4585.2731060444576</v>
      </c>
      <c r="G70" s="114">
        <f t="shared" si="3"/>
        <v>180676.63399440836</v>
      </c>
      <c r="H70" s="115">
        <f t="shared" si="0"/>
        <v>11823672.27153608</v>
      </c>
      <c r="J70" s="112"/>
      <c r="K70" s="133"/>
      <c r="L70" s="134"/>
      <c r="M70" s="135"/>
      <c r="N70" s="136"/>
      <c r="O70" s="114"/>
      <c r="P70" s="114"/>
      <c r="Q70" s="114"/>
      <c r="R70" s="115"/>
    </row>
    <row r="71" spans="3:18" x14ac:dyDescent="0.2">
      <c r="C71" s="116">
        <v>58</v>
      </c>
      <c r="D71" s="113" t="str">
        <f t="shared" si="4"/>
        <v>1/2/2025</v>
      </c>
      <c r="E71" s="114">
        <f t="shared" si="1"/>
        <v>185261.90710045281</v>
      </c>
      <c r="F71" s="114">
        <f t="shared" si="2"/>
        <v>4655.3131527392889</v>
      </c>
      <c r="G71" s="114">
        <f t="shared" si="3"/>
        <v>180606.59394771353</v>
      </c>
      <c r="H71" s="115">
        <f t="shared" si="0"/>
        <v>11819016.95838334</v>
      </c>
      <c r="J71" s="116"/>
      <c r="K71" s="133"/>
      <c r="L71" s="134"/>
      <c r="M71" s="135"/>
      <c r="N71" s="136"/>
      <c r="O71" s="114"/>
      <c r="P71" s="114"/>
      <c r="Q71" s="114"/>
      <c r="R71" s="115"/>
    </row>
    <row r="72" spans="3:18" x14ac:dyDescent="0.2">
      <c r="C72" s="116">
        <v>59</v>
      </c>
      <c r="D72" s="113" t="str">
        <f t="shared" si="4"/>
        <v>2/2/2025</v>
      </c>
      <c r="E72" s="114">
        <f t="shared" si="1"/>
        <v>185261.90710045281</v>
      </c>
      <c r="F72" s="114">
        <f t="shared" si="2"/>
        <v>4726.4230611473804</v>
      </c>
      <c r="G72" s="114">
        <f t="shared" si="3"/>
        <v>180535.48403930542</v>
      </c>
      <c r="H72" s="115">
        <f t="shared" si="0"/>
        <v>11814290.535322193</v>
      </c>
      <c r="J72" s="116"/>
      <c r="K72" s="133"/>
      <c r="L72" s="134"/>
      <c r="M72" s="135"/>
      <c r="N72" s="136"/>
      <c r="O72" s="114"/>
      <c r="P72" s="114"/>
      <c r="Q72" s="114"/>
      <c r="R72" s="115"/>
    </row>
    <row r="73" spans="3:18" x14ac:dyDescent="0.2">
      <c r="C73" s="112">
        <v>60</v>
      </c>
      <c r="D73" s="113" t="str">
        <f t="shared" si="4"/>
        <v>3/2/2025</v>
      </c>
      <c r="E73" s="114">
        <f t="shared" si="1"/>
        <v>185261.90710045281</v>
      </c>
      <c r="F73" s="114">
        <f t="shared" si="2"/>
        <v>4798.6191734064059</v>
      </c>
      <c r="G73" s="114">
        <f t="shared" si="3"/>
        <v>180463.28792704639</v>
      </c>
      <c r="H73" s="115">
        <f t="shared" si="0"/>
        <v>11809491.916148787</v>
      </c>
      <c r="J73" s="112"/>
      <c r="K73" s="133"/>
      <c r="L73" s="134"/>
      <c r="M73" s="135"/>
      <c r="N73" s="136"/>
      <c r="O73" s="114"/>
      <c r="P73" s="114"/>
      <c r="Q73" s="114"/>
      <c r="R73" s="115"/>
    </row>
    <row r="74" spans="3:18" x14ac:dyDescent="0.2">
      <c r="C74" s="116">
        <v>61</v>
      </c>
      <c r="D74" s="113" t="str">
        <f t="shared" si="4"/>
        <v>4/2/2025</v>
      </c>
      <c r="E74" s="114">
        <f t="shared" si="1"/>
        <v>185261.90710045281</v>
      </c>
      <c r="F74" s="114">
        <f t="shared" si="2"/>
        <v>4871.9180812801897</v>
      </c>
      <c r="G74" s="114">
        <f t="shared" si="3"/>
        <v>180389.98901917259</v>
      </c>
      <c r="H74" s="115">
        <f t="shared" si="0"/>
        <v>11804619.998067508</v>
      </c>
      <c r="J74" s="116"/>
      <c r="K74" s="133"/>
      <c r="L74" s="134"/>
      <c r="M74" s="135"/>
      <c r="N74" s="136"/>
      <c r="O74" s="114"/>
      <c r="P74" s="114"/>
      <c r="Q74" s="114"/>
      <c r="R74" s="115"/>
    </row>
    <row r="75" spans="3:18" x14ac:dyDescent="0.2">
      <c r="C75" s="116">
        <v>62</v>
      </c>
      <c r="D75" s="113" t="str">
        <f t="shared" si="4"/>
        <v>5/2/2025</v>
      </c>
      <c r="E75" s="114">
        <f t="shared" si="1"/>
        <v>185261.90710045281</v>
      </c>
      <c r="F75" s="114">
        <f t="shared" si="2"/>
        <v>4946.3366299717436</v>
      </c>
      <c r="G75" s="114">
        <f t="shared" si="3"/>
        <v>180315.57047048103</v>
      </c>
      <c r="H75" s="115">
        <f t="shared" si="0"/>
        <v>11799673.661437536</v>
      </c>
      <c r="J75" s="116"/>
      <c r="K75" s="133"/>
      <c r="L75" s="134"/>
      <c r="M75" s="135"/>
      <c r="N75" s="136"/>
      <c r="O75" s="114"/>
      <c r="P75" s="114"/>
      <c r="Q75" s="114"/>
      <c r="R75" s="115"/>
    </row>
    <row r="76" spans="3:18" x14ac:dyDescent="0.2">
      <c r="C76" s="112">
        <v>63</v>
      </c>
      <c r="D76" s="113" t="str">
        <f t="shared" si="4"/>
        <v>6/2/2025</v>
      </c>
      <c r="E76" s="114">
        <f t="shared" si="1"/>
        <v>185261.90710045281</v>
      </c>
      <c r="F76" s="114">
        <f t="shared" si="2"/>
        <v>5021.8919219945619</v>
      </c>
      <c r="G76" s="114">
        <f t="shared" si="3"/>
        <v>180240.01517845824</v>
      </c>
      <c r="H76" s="115">
        <f t="shared" si="0"/>
        <v>11794651.76951554</v>
      </c>
      <c r="J76" s="112"/>
      <c r="K76" s="133"/>
      <c r="L76" s="134"/>
      <c r="M76" s="135"/>
      <c r="N76" s="136"/>
      <c r="O76" s="114"/>
      <c r="P76" s="114"/>
      <c r="Q76" s="114"/>
      <c r="R76" s="115"/>
    </row>
    <row r="77" spans="3:18" x14ac:dyDescent="0.2">
      <c r="C77" s="116">
        <v>64</v>
      </c>
      <c r="D77" s="113" t="str">
        <f t="shared" si="4"/>
        <v>7/2/2025</v>
      </c>
      <c r="E77" s="114">
        <f t="shared" si="1"/>
        <v>185261.90710045281</v>
      </c>
      <c r="F77" s="114">
        <f t="shared" si="2"/>
        <v>5098.6013211030295</v>
      </c>
      <c r="G77" s="114">
        <f t="shared" si="3"/>
        <v>180163.30577934979</v>
      </c>
      <c r="H77" s="115">
        <f t="shared" si="0"/>
        <v>11789553.168194437</v>
      </c>
      <c r="J77" s="116"/>
      <c r="K77" s="133"/>
      <c r="L77" s="134"/>
      <c r="M77" s="135"/>
      <c r="N77" s="136"/>
      <c r="O77" s="114"/>
      <c r="P77" s="114"/>
      <c r="Q77" s="114"/>
      <c r="R77" s="115"/>
    </row>
    <row r="78" spans="3:18" x14ac:dyDescent="0.2">
      <c r="C78" s="116">
        <v>65</v>
      </c>
      <c r="D78" s="113" t="str">
        <f t="shared" si="4"/>
        <v>8/2/2025</v>
      </c>
      <c r="E78" s="114">
        <f t="shared" si="1"/>
        <v>185261.90710045281</v>
      </c>
      <c r="F78" s="114">
        <f t="shared" si="2"/>
        <v>5176.4824562828771</v>
      </c>
      <c r="G78" s="114">
        <f t="shared" si="3"/>
        <v>180085.42464416992</v>
      </c>
      <c r="H78" s="115">
        <f t="shared" si="0"/>
        <v>11784376.685738154</v>
      </c>
      <c r="J78" s="116"/>
      <c r="K78" s="133"/>
      <c r="L78" s="134"/>
      <c r="M78" s="135"/>
      <c r="N78" s="136"/>
      <c r="O78" s="114"/>
      <c r="P78" s="114"/>
      <c r="Q78" s="114"/>
      <c r="R78" s="115"/>
    </row>
    <row r="79" spans="3:18" x14ac:dyDescent="0.2">
      <c r="C79" s="112">
        <v>66</v>
      </c>
      <c r="D79" s="113" t="str">
        <f t="shared" si="4"/>
        <v>9/2/2025</v>
      </c>
      <c r="E79" s="114">
        <f t="shared" si="1"/>
        <v>185261.90710045281</v>
      </c>
      <c r="F79" s="114">
        <f t="shared" si="2"/>
        <v>5255.5532258025987</v>
      </c>
      <c r="G79" s="114">
        <f t="shared" si="3"/>
        <v>180006.3538746502</v>
      </c>
      <c r="H79" s="115">
        <f t="shared" ref="H79:H142" si="5">IF($B79&lt;=$C$6,H78-F79,"")</f>
        <v>11779121.132512351</v>
      </c>
      <c r="J79" s="112"/>
      <c r="K79" s="133"/>
      <c r="L79" s="134"/>
      <c r="M79" s="135"/>
      <c r="N79" s="136"/>
      <c r="O79" s="114"/>
      <c r="P79" s="114"/>
      <c r="Q79" s="114"/>
      <c r="R79" s="115"/>
    </row>
    <row r="80" spans="3:18" x14ac:dyDescent="0.2">
      <c r="C80" s="116">
        <v>67</v>
      </c>
      <c r="D80" s="113" t="str">
        <f t="shared" si="4"/>
        <v>10/2/2025</v>
      </c>
      <c r="E80" s="114">
        <f t="shared" ref="E80:E143" si="6">IF($C80&lt;=$D$6,PMT($D$8/12,$D$6,-$D$4),"")</f>
        <v>185261.90710045281</v>
      </c>
      <c r="F80" s="114">
        <f t="shared" ref="F80:F143" si="7">IF($C80&lt;=$D$6,PPMT($D$8/12,$C80,$D$6,-$D$4),"")</f>
        <v>5335.8318013267344</v>
      </c>
      <c r="G80" s="114">
        <f t="shared" ref="G80:G143" si="8">IF($C80&lt;=$D$6,IPMT($D$8/12,$C80,$D$6,-$D$4),"")</f>
        <v>179926.07529912607</v>
      </c>
      <c r="H80" s="115">
        <f t="shared" si="5"/>
        <v>11773785.300711025</v>
      </c>
      <c r="J80" s="116"/>
      <c r="K80" s="133"/>
      <c r="L80" s="134"/>
      <c r="M80" s="135"/>
      <c r="N80" s="136"/>
      <c r="O80" s="114"/>
      <c r="P80" s="114"/>
      <c r="Q80" s="114"/>
      <c r="R80" s="115"/>
    </row>
    <row r="81" spans="3:18" x14ac:dyDescent="0.2">
      <c r="C81" s="116">
        <v>68</v>
      </c>
      <c r="D81" s="113" t="str">
        <f t="shared" si="4"/>
        <v>11/2/2025</v>
      </c>
      <c r="E81" s="114">
        <f t="shared" si="6"/>
        <v>185261.90710045281</v>
      </c>
      <c r="F81" s="114">
        <f t="shared" si="7"/>
        <v>5417.3366320920004</v>
      </c>
      <c r="G81" s="114">
        <f t="shared" si="8"/>
        <v>179844.57046836079</v>
      </c>
      <c r="H81" s="115">
        <f t="shared" si="5"/>
        <v>11768367.964078933</v>
      </c>
      <c r="J81" s="116"/>
      <c r="K81" s="133"/>
      <c r="L81" s="134"/>
      <c r="M81" s="135"/>
      <c r="N81" s="136"/>
      <c r="O81" s="114"/>
      <c r="P81" s="114"/>
      <c r="Q81" s="114"/>
      <c r="R81" s="115"/>
    </row>
    <row r="82" spans="3:18" x14ac:dyDescent="0.2">
      <c r="C82" s="112">
        <v>69</v>
      </c>
      <c r="D82" s="113" t="str">
        <f t="shared" ref="D82:D145" si="9">CONCATENATE(IF(MONTH(D81)&lt;12,MONTH(D81)+1,MONTH(D81)-11),"/",DAY(D81),"/",IF(MONTH(D81)&lt;12,YEAR(D81),YEAR(D81)+1))</f>
        <v>12/2/2025</v>
      </c>
      <c r="E82" s="114">
        <f t="shared" si="6"/>
        <v>185261.90710045281</v>
      </c>
      <c r="F82" s="114">
        <f t="shared" si="7"/>
        <v>5500.0864491472057</v>
      </c>
      <c r="G82" s="114">
        <f t="shared" si="8"/>
        <v>179761.82065130561</v>
      </c>
      <c r="H82" s="115">
        <f t="shared" si="5"/>
        <v>11762867.877629785</v>
      </c>
      <c r="J82" s="112"/>
      <c r="K82" s="133"/>
      <c r="L82" s="134"/>
      <c r="M82" s="135"/>
      <c r="N82" s="136"/>
      <c r="O82" s="114"/>
      <c r="P82" s="114"/>
      <c r="Q82" s="114"/>
      <c r="R82" s="115"/>
    </row>
    <row r="83" spans="3:18" x14ac:dyDescent="0.2">
      <c r="C83" s="116">
        <v>70</v>
      </c>
      <c r="D83" s="113" t="str">
        <f t="shared" si="9"/>
        <v>1/2/2026</v>
      </c>
      <c r="E83" s="114">
        <f t="shared" si="6"/>
        <v>185261.90710045281</v>
      </c>
      <c r="F83" s="114">
        <f t="shared" si="7"/>
        <v>5584.1002696579289</v>
      </c>
      <c r="G83" s="114">
        <f t="shared" si="8"/>
        <v>179677.80683079487</v>
      </c>
      <c r="H83" s="115">
        <f t="shared" si="5"/>
        <v>11757283.777360126</v>
      </c>
      <c r="J83" s="116"/>
      <c r="K83" s="133"/>
      <c r="L83" s="134"/>
      <c r="M83" s="135"/>
      <c r="N83" s="136"/>
      <c r="O83" s="114"/>
      <c r="P83" s="114"/>
      <c r="Q83" s="114"/>
      <c r="R83" s="115"/>
    </row>
    <row r="84" spans="3:18" x14ac:dyDescent="0.2">
      <c r="C84" s="116">
        <v>71</v>
      </c>
      <c r="D84" s="113" t="str">
        <f t="shared" si="9"/>
        <v>2/2/2026</v>
      </c>
      <c r="E84" s="114">
        <f t="shared" si="6"/>
        <v>185261.90710045281</v>
      </c>
      <c r="F84" s="114">
        <f t="shared" si="7"/>
        <v>5669.3974012769531</v>
      </c>
      <c r="G84" s="114">
        <f t="shared" si="8"/>
        <v>179592.50969917586</v>
      </c>
      <c r="H84" s="115">
        <f t="shared" si="5"/>
        <v>11751614.379958849</v>
      </c>
      <c r="J84" s="116"/>
      <c r="K84" s="133"/>
      <c r="L84" s="134"/>
      <c r="M84" s="135"/>
      <c r="N84" s="136"/>
      <c r="O84" s="114"/>
      <c r="P84" s="114"/>
      <c r="Q84" s="114"/>
      <c r="R84" s="115"/>
    </row>
    <row r="85" spans="3:18" x14ac:dyDescent="0.2">
      <c r="C85" s="112">
        <v>72</v>
      </c>
      <c r="D85" s="113" t="str">
        <f t="shared" si="9"/>
        <v>3/2/2026</v>
      </c>
      <c r="E85" s="114">
        <f t="shared" si="6"/>
        <v>185261.90710045281</v>
      </c>
      <c r="F85" s="114">
        <f t="shared" si="7"/>
        <v>5755.9974465814585</v>
      </c>
      <c r="G85" s="114">
        <f t="shared" si="8"/>
        <v>179505.90965387132</v>
      </c>
      <c r="H85" s="115">
        <f t="shared" si="5"/>
        <v>11745858.382512268</v>
      </c>
      <c r="J85" s="112"/>
      <c r="K85" s="133"/>
      <c r="L85" s="134"/>
      <c r="M85" s="135"/>
      <c r="N85" s="136"/>
      <c r="O85" s="114"/>
      <c r="P85" s="114"/>
      <c r="Q85" s="114"/>
      <c r="R85" s="115"/>
    </row>
    <row r="86" spans="3:18" x14ac:dyDescent="0.2">
      <c r="C86" s="116">
        <v>73</v>
      </c>
      <c r="D86" s="113" t="str">
        <f t="shared" si="9"/>
        <v>4/2/2026</v>
      </c>
      <c r="E86" s="114">
        <f t="shared" si="6"/>
        <v>185261.90710045281</v>
      </c>
      <c r="F86" s="114">
        <f t="shared" si="7"/>
        <v>5843.9203075779897</v>
      </c>
      <c r="G86" s="114">
        <f t="shared" si="8"/>
        <v>179417.98679287481</v>
      </c>
      <c r="H86" s="115">
        <f t="shared" si="5"/>
        <v>11740014.462204689</v>
      </c>
      <c r="J86" s="116"/>
      <c r="K86" s="133"/>
      <c r="L86" s="134"/>
      <c r="M86" s="135"/>
      <c r="N86" s="136"/>
      <c r="O86" s="114"/>
      <c r="P86" s="114"/>
      <c r="Q86" s="114"/>
      <c r="R86" s="115"/>
    </row>
    <row r="87" spans="3:18" x14ac:dyDescent="0.2">
      <c r="C87" s="116">
        <v>74</v>
      </c>
      <c r="D87" s="113" t="str">
        <f t="shared" si="9"/>
        <v>5/2/2026</v>
      </c>
      <c r="E87" s="114">
        <f t="shared" si="6"/>
        <v>185261.90710045281</v>
      </c>
      <c r="F87" s="114">
        <f t="shared" si="7"/>
        <v>5933.1861902762439</v>
      </c>
      <c r="G87" s="114">
        <f t="shared" si="8"/>
        <v>179328.72091017655</v>
      </c>
      <c r="H87" s="115">
        <f t="shared" si="5"/>
        <v>11734081.276014414</v>
      </c>
      <c r="J87" s="116"/>
      <c r="K87" s="133"/>
      <c r="L87" s="134"/>
      <c r="M87" s="135"/>
      <c r="N87" s="136"/>
      <c r="O87" s="114"/>
      <c r="P87" s="114"/>
      <c r="Q87" s="114"/>
      <c r="R87" s="115"/>
    </row>
    <row r="88" spans="3:18" x14ac:dyDescent="0.2">
      <c r="C88" s="112">
        <v>75</v>
      </c>
      <c r="D88" s="113" t="str">
        <f t="shared" si="9"/>
        <v>6/2/2026</v>
      </c>
      <c r="E88" s="114">
        <f t="shared" si="6"/>
        <v>185261.90710045281</v>
      </c>
      <c r="F88" s="114">
        <f t="shared" si="7"/>
        <v>6023.8156093327152</v>
      </c>
      <c r="G88" s="114">
        <f t="shared" si="8"/>
        <v>179238.09149112011</v>
      </c>
      <c r="H88" s="115">
        <f t="shared" si="5"/>
        <v>11728057.460405082</v>
      </c>
      <c r="J88" s="112"/>
      <c r="K88" s="133"/>
      <c r="L88" s="134"/>
      <c r="M88" s="135"/>
      <c r="N88" s="136"/>
      <c r="O88" s="114"/>
      <c r="P88" s="114"/>
      <c r="Q88" s="114"/>
      <c r="R88" s="115"/>
    </row>
    <row r="89" spans="3:18" x14ac:dyDescent="0.2">
      <c r="C89" s="116">
        <v>76</v>
      </c>
      <c r="D89" s="113" t="str">
        <f t="shared" si="9"/>
        <v>7/2/2026</v>
      </c>
      <c r="E89" s="114">
        <f t="shared" si="6"/>
        <v>185261.90710045281</v>
      </c>
      <c r="F89" s="114">
        <f t="shared" si="7"/>
        <v>6115.8293927652721</v>
      </c>
      <c r="G89" s="114">
        <f t="shared" si="8"/>
        <v>179146.07770768751</v>
      </c>
      <c r="H89" s="115">
        <f t="shared" si="5"/>
        <v>11721941.631012317</v>
      </c>
      <c r="J89" s="116"/>
      <c r="K89" s="133"/>
      <c r="L89" s="134"/>
      <c r="M89" s="135"/>
      <c r="N89" s="136"/>
      <c r="O89" s="114"/>
      <c r="P89" s="114"/>
      <c r="Q89" s="114"/>
      <c r="R89" s="115"/>
    </row>
    <row r="90" spans="3:18" x14ac:dyDescent="0.2">
      <c r="C90" s="116">
        <v>77</v>
      </c>
      <c r="D90" s="113" t="str">
        <f t="shared" si="9"/>
        <v>8/2/2026</v>
      </c>
      <c r="E90" s="114">
        <f t="shared" si="6"/>
        <v>185261.90710045281</v>
      </c>
      <c r="F90" s="114">
        <f t="shared" si="7"/>
        <v>6209.248686739762</v>
      </c>
      <c r="G90" s="114">
        <f t="shared" si="8"/>
        <v>179052.65841371304</v>
      </c>
      <c r="H90" s="115">
        <f t="shared" si="5"/>
        <v>11715732.382325577</v>
      </c>
      <c r="J90" s="116"/>
      <c r="K90" s="133"/>
      <c r="L90" s="134"/>
      <c r="M90" s="135"/>
      <c r="N90" s="136"/>
      <c r="O90" s="114"/>
      <c r="P90" s="114"/>
      <c r="Q90" s="114"/>
      <c r="R90" s="115"/>
    </row>
    <row r="91" spans="3:18" x14ac:dyDescent="0.2">
      <c r="C91" s="112">
        <v>78</v>
      </c>
      <c r="D91" s="113" t="str">
        <f t="shared" si="9"/>
        <v>9/2/2026</v>
      </c>
      <c r="E91" s="114">
        <f t="shared" si="6"/>
        <v>185261.90710045281</v>
      </c>
      <c r="F91" s="114">
        <f t="shared" si="7"/>
        <v>6304.0949604297111</v>
      </c>
      <c r="G91" s="114">
        <f t="shared" si="8"/>
        <v>178957.81214002307</v>
      </c>
      <c r="H91" s="115">
        <f t="shared" si="5"/>
        <v>11709428.287365146</v>
      </c>
      <c r="J91" s="112"/>
      <c r="K91" s="133"/>
      <c r="L91" s="134"/>
      <c r="M91" s="135"/>
      <c r="N91" s="136"/>
      <c r="O91" s="114"/>
      <c r="P91" s="114"/>
      <c r="Q91" s="114"/>
      <c r="R91" s="115"/>
    </row>
    <row r="92" spans="3:18" x14ac:dyDescent="0.2">
      <c r="C92" s="116">
        <v>79</v>
      </c>
      <c r="D92" s="113" t="str">
        <f t="shared" si="9"/>
        <v>10/2/2026</v>
      </c>
      <c r="E92" s="114">
        <f t="shared" si="6"/>
        <v>185261.90710045281</v>
      </c>
      <c r="F92" s="114">
        <f t="shared" si="7"/>
        <v>6400.3900109502747</v>
      </c>
      <c r="G92" s="114">
        <f t="shared" si="8"/>
        <v>178861.51708950254</v>
      </c>
      <c r="H92" s="115">
        <f t="shared" si="5"/>
        <v>11703027.897354195</v>
      </c>
      <c r="J92" s="116"/>
      <c r="K92" s="133"/>
      <c r="L92" s="134"/>
      <c r="M92" s="135"/>
      <c r="N92" s="136"/>
      <c r="O92" s="114"/>
      <c r="P92" s="114"/>
      <c r="Q92" s="114"/>
      <c r="R92" s="115"/>
    </row>
    <row r="93" spans="3:18" x14ac:dyDescent="0.2">
      <c r="C93" s="116">
        <v>80</v>
      </c>
      <c r="D93" s="113" t="str">
        <f t="shared" si="9"/>
        <v>11/2/2026</v>
      </c>
      <c r="E93" s="114">
        <f t="shared" si="6"/>
        <v>185261.90710045281</v>
      </c>
      <c r="F93" s="114">
        <f t="shared" si="7"/>
        <v>6498.1559683675396</v>
      </c>
      <c r="G93" s="114">
        <f t="shared" si="8"/>
        <v>178763.75113208525</v>
      </c>
      <c r="H93" s="115">
        <f t="shared" si="5"/>
        <v>11696529.741385827</v>
      </c>
      <c r="J93" s="116"/>
      <c r="K93" s="133"/>
      <c r="L93" s="134"/>
      <c r="M93" s="135"/>
      <c r="N93" s="136"/>
      <c r="O93" s="114"/>
      <c r="P93" s="114"/>
      <c r="Q93" s="114"/>
      <c r="R93" s="115"/>
    </row>
    <row r="94" spans="3:18" x14ac:dyDescent="0.2">
      <c r="C94" s="112">
        <v>81</v>
      </c>
      <c r="D94" s="113" t="str">
        <f t="shared" si="9"/>
        <v>12/2/2026</v>
      </c>
      <c r="E94" s="114">
        <f t="shared" si="6"/>
        <v>185261.90710045281</v>
      </c>
      <c r="F94" s="114">
        <f t="shared" si="7"/>
        <v>6597.4153007843533</v>
      </c>
      <c r="G94" s="114">
        <f t="shared" si="8"/>
        <v>178664.49179966847</v>
      </c>
      <c r="H94" s="115">
        <f t="shared" si="5"/>
        <v>11689932.326085042</v>
      </c>
      <c r="J94" s="112"/>
      <c r="K94" s="133"/>
      <c r="L94" s="134"/>
      <c r="M94" s="135"/>
      <c r="N94" s="136"/>
      <c r="O94" s="114"/>
      <c r="P94" s="114"/>
      <c r="Q94" s="114"/>
      <c r="R94" s="115"/>
    </row>
    <row r="95" spans="3:18" x14ac:dyDescent="0.2">
      <c r="C95" s="116">
        <v>82</v>
      </c>
      <c r="D95" s="113" t="str">
        <f t="shared" si="9"/>
        <v>1/2/2027</v>
      </c>
      <c r="E95" s="114">
        <f t="shared" si="6"/>
        <v>185261.90710045281</v>
      </c>
      <c r="F95" s="114">
        <f t="shared" si="7"/>
        <v>6698.190819503835</v>
      </c>
      <c r="G95" s="114">
        <f t="shared" si="8"/>
        <v>178563.71628094898</v>
      </c>
      <c r="H95" s="115">
        <f t="shared" si="5"/>
        <v>11683234.135265538</v>
      </c>
      <c r="J95" s="116"/>
      <c r="K95" s="133"/>
      <c r="L95" s="134"/>
      <c r="M95" s="135"/>
      <c r="N95" s="136"/>
      <c r="O95" s="114"/>
      <c r="P95" s="114"/>
      <c r="Q95" s="114"/>
      <c r="R95" s="115"/>
    </row>
    <row r="96" spans="3:18" x14ac:dyDescent="0.2">
      <c r="C96" s="116">
        <v>83</v>
      </c>
      <c r="D96" s="113" t="str">
        <f t="shared" si="9"/>
        <v>2/2/2027</v>
      </c>
      <c r="E96" s="114">
        <f t="shared" si="6"/>
        <v>185261.90710045281</v>
      </c>
      <c r="F96" s="114">
        <f t="shared" si="7"/>
        <v>6800.505684271754</v>
      </c>
      <c r="G96" s="114">
        <f t="shared" si="8"/>
        <v>178461.40141618106</v>
      </c>
      <c r="H96" s="115">
        <f t="shared" si="5"/>
        <v>11676433.629581267</v>
      </c>
      <c r="J96" s="116"/>
      <c r="K96" s="133"/>
      <c r="L96" s="134"/>
      <c r="M96" s="135"/>
      <c r="N96" s="136"/>
      <c r="O96" s="114"/>
      <c r="P96" s="114"/>
      <c r="Q96" s="114"/>
      <c r="R96" s="115"/>
    </row>
    <row r="97" spans="3:18" x14ac:dyDescent="0.2">
      <c r="C97" s="112">
        <v>84</v>
      </c>
      <c r="D97" s="113" t="str">
        <f t="shared" si="9"/>
        <v>3/2/2027</v>
      </c>
      <c r="E97" s="114">
        <f t="shared" si="6"/>
        <v>185261.90710045281</v>
      </c>
      <c r="F97" s="114">
        <f t="shared" si="7"/>
        <v>6904.3834085990084</v>
      </c>
      <c r="G97" s="114">
        <f t="shared" si="8"/>
        <v>178357.5236918538</v>
      </c>
      <c r="H97" s="115">
        <f t="shared" si="5"/>
        <v>11669529.246172668</v>
      </c>
      <c r="J97" s="112"/>
      <c r="K97" s="133"/>
      <c r="L97" s="134"/>
      <c r="M97" s="135"/>
      <c r="N97" s="136"/>
      <c r="O97" s="114"/>
      <c r="P97" s="114"/>
      <c r="Q97" s="114"/>
      <c r="R97" s="115"/>
    </row>
    <row r="98" spans="3:18" x14ac:dyDescent="0.2">
      <c r="C98" s="116">
        <v>85</v>
      </c>
      <c r="D98" s="113" t="str">
        <f t="shared" si="9"/>
        <v>4/2/2027</v>
      </c>
      <c r="E98" s="114">
        <f t="shared" si="6"/>
        <v>185261.90710045281</v>
      </c>
      <c r="F98" s="114">
        <f t="shared" si="7"/>
        <v>7009.8478651653577</v>
      </c>
      <c r="G98" s="114">
        <f t="shared" si="8"/>
        <v>178252.05923528742</v>
      </c>
      <c r="H98" s="115">
        <f t="shared" si="5"/>
        <v>11662519.398307502</v>
      </c>
      <c r="J98" s="116"/>
      <c r="K98" s="133"/>
      <c r="L98" s="134"/>
      <c r="M98" s="135"/>
      <c r="N98" s="136"/>
      <c r="O98" s="114"/>
      <c r="P98" s="114"/>
      <c r="Q98" s="114"/>
      <c r="R98" s="115"/>
    </row>
    <row r="99" spans="3:18" x14ac:dyDescent="0.2">
      <c r="C99" s="116">
        <v>86</v>
      </c>
      <c r="D99" s="113" t="str">
        <f t="shared" si="9"/>
        <v>5/2/2027</v>
      </c>
      <c r="E99" s="114">
        <f t="shared" si="6"/>
        <v>185261.90710045281</v>
      </c>
      <c r="F99" s="114">
        <f t="shared" si="7"/>
        <v>7116.9232913057576</v>
      </c>
      <c r="G99" s="114">
        <f t="shared" si="8"/>
        <v>178144.98380914706</v>
      </c>
      <c r="H99" s="115">
        <f t="shared" si="5"/>
        <v>11655402.475016197</v>
      </c>
      <c r="J99" s="116"/>
      <c r="K99" s="133"/>
      <c r="L99" s="134"/>
      <c r="M99" s="135"/>
      <c r="N99" s="136"/>
      <c r="O99" s="114"/>
      <c r="P99" s="114"/>
      <c r="Q99" s="114"/>
      <c r="R99" s="115"/>
    </row>
    <row r="100" spans="3:18" x14ac:dyDescent="0.2">
      <c r="C100" s="112">
        <v>87</v>
      </c>
      <c r="D100" s="113" t="str">
        <f t="shared" si="9"/>
        <v>6/2/2027</v>
      </c>
      <c r="E100" s="114">
        <f t="shared" si="6"/>
        <v>185261.90710045281</v>
      </c>
      <c r="F100" s="114">
        <f t="shared" si="7"/>
        <v>7225.6342945804527</v>
      </c>
      <c r="G100" s="114">
        <f t="shared" si="8"/>
        <v>178036.27280587234</v>
      </c>
      <c r="H100" s="115">
        <f t="shared" si="5"/>
        <v>11648176.840721617</v>
      </c>
      <c r="J100" s="112"/>
      <c r="K100" s="133"/>
      <c r="L100" s="134"/>
      <c r="M100" s="135"/>
      <c r="N100" s="136"/>
      <c r="O100" s="114"/>
      <c r="P100" s="114"/>
      <c r="Q100" s="114"/>
      <c r="R100" s="115"/>
    </row>
    <row r="101" spans="3:18" x14ac:dyDescent="0.2">
      <c r="C101" s="116">
        <v>88</v>
      </c>
      <c r="D101" s="113" t="str">
        <f t="shared" si="9"/>
        <v>7/2/2027</v>
      </c>
      <c r="E101" s="114">
        <f t="shared" si="6"/>
        <v>185261.90710045281</v>
      </c>
      <c r="F101" s="114">
        <f t="shared" si="7"/>
        <v>7336.0058584301687</v>
      </c>
      <c r="G101" s="114">
        <f t="shared" si="8"/>
        <v>177925.90124202261</v>
      </c>
      <c r="H101" s="115">
        <f t="shared" si="5"/>
        <v>11640840.834863186</v>
      </c>
      <c r="J101" s="116"/>
      <c r="K101" s="133"/>
      <c r="L101" s="134"/>
      <c r="M101" s="135"/>
      <c r="N101" s="136"/>
      <c r="O101" s="114"/>
      <c r="P101" s="114"/>
      <c r="Q101" s="114"/>
      <c r="R101" s="115"/>
    </row>
    <row r="102" spans="3:18" x14ac:dyDescent="0.2">
      <c r="C102" s="116">
        <v>89</v>
      </c>
      <c r="D102" s="113" t="str">
        <f t="shared" si="9"/>
        <v>8/2/2027</v>
      </c>
      <c r="E102" s="114">
        <f t="shared" si="6"/>
        <v>185261.90710045281</v>
      </c>
      <c r="F102" s="114">
        <f t="shared" si="7"/>
        <v>7448.0633479176895</v>
      </c>
      <c r="G102" s="114">
        <f t="shared" si="8"/>
        <v>177813.84375253512</v>
      </c>
      <c r="H102" s="115">
        <f t="shared" si="5"/>
        <v>11633392.771515269</v>
      </c>
      <c r="J102" s="116"/>
      <c r="K102" s="133"/>
      <c r="L102" s="134"/>
      <c r="M102" s="135"/>
      <c r="N102" s="136"/>
      <c r="O102" s="114"/>
      <c r="P102" s="114"/>
      <c r="Q102" s="114"/>
      <c r="R102" s="115"/>
    </row>
    <row r="103" spans="3:18" x14ac:dyDescent="0.2">
      <c r="C103" s="112">
        <v>90</v>
      </c>
      <c r="D103" s="113" t="str">
        <f t="shared" si="9"/>
        <v>9/2/2027</v>
      </c>
      <c r="E103" s="114">
        <f t="shared" si="6"/>
        <v>185261.90710045281</v>
      </c>
      <c r="F103" s="114">
        <f t="shared" si="7"/>
        <v>7561.8325155571329</v>
      </c>
      <c r="G103" s="114">
        <f t="shared" si="8"/>
        <v>177700.07458489569</v>
      </c>
      <c r="H103" s="115">
        <f t="shared" si="5"/>
        <v>11625830.938999712</v>
      </c>
      <c r="J103" s="112"/>
      <c r="K103" s="133"/>
      <c r="L103" s="134"/>
      <c r="M103" s="135"/>
      <c r="N103" s="136"/>
      <c r="O103" s="114"/>
      <c r="P103" s="114"/>
      <c r="Q103" s="114"/>
      <c r="R103" s="115"/>
    </row>
    <row r="104" spans="3:18" x14ac:dyDescent="0.2">
      <c r="C104" s="116">
        <v>91</v>
      </c>
      <c r="D104" s="113" t="str">
        <f t="shared" si="9"/>
        <v>10/2/2027</v>
      </c>
      <c r="E104" s="114">
        <f t="shared" si="6"/>
        <v>185261.90710045281</v>
      </c>
      <c r="F104" s="114">
        <f t="shared" si="7"/>
        <v>7677.3395072322674</v>
      </c>
      <c r="G104" s="114">
        <f t="shared" si="8"/>
        <v>177584.56759322053</v>
      </c>
      <c r="H104" s="115">
        <f t="shared" si="5"/>
        <v>11618153.599492481</v>
      </c>
      <c r="J104" s="116"/>
      <c r="K104" s="133"/>
      <c r="L104" s="134"/>
      <c r="M104" s="135"/>
      <c r="N104" s="136"/>
      <c r="O104" s="114"/>
      <c r="P104" s="114"/>
      <c r="Q104" s="114"/>
      <c r="R104" s="115"/>
    </row>
    <row r="105" spans="3:18" x14ac:dyDescent="0.2">
      <c r="C105" s="116">
        <v>92</v>
      </c>
      <c r="D105" s="113" t="str">
        <f t="shared" si="9"/>
        <v>11/2/2027</v>
      </c>
      <c r="E105" s="114">
        <f t="shared" si="6"/>
        <v>185261.90710045281</v>
      </c>
      <c r="F105" s="114">
        <f t="shared" si="7"/>
        <v>7794.6108682052427</v>
      </c>
      <c r="G105" s="114">
        <f t="shared" si="8"/>
        <v>177467.29623224758</v>
      </c>
      <c r="H105" s="115">
        <f t="shared" si="5"/>
        <v>11610358.988624277</v>
      </c>
      <c r="J105" s="116"/>
      <c r="K105" s="133"/>
      <c r="L105" s="134"/>
      <c r="M105" s="135"/>
      <c r="N105" s="136"/>
      <c r="O105" s="114"/>
      <c r="P105" s="114"/>
      <c r="Q105" s="114"/>
      <c r="R105" s="115"/>
    </row>
    <row r="106" spans="3:18" x14ac:dyDescent="0.2">
      <c r="C106" s="112">
        <v>93</v>
      </c>
      <c r="D106" s="113" t="str">
        <f t="shared" si="9"/>
        <v>12/2/2027</v>
      </c>
      <c r="E106" s="114">
        <f t="shared" si="6"/>
        <v>185261.90710045281</v>
      </c>
      <c r="F106" s="114">
        <f t="shared" si="7"/>
        <v>7913.6735492170783</v>
      </c>
      <c r="G106" s="114">
        <f t="shared" si="8"/>
        <v>177348.23355123572</v>
      </c>
      <c r="H106" s="115">
        <f t="shared" si="5"/>
        <v>11602445.31507506</v>
      </c>
      <c r="J106" s="112"/>
      <c r="K106" s="133"/>
      <c r="L106" s="134"/>
      <c r="M106" s="135"/>
      <c r="N106" s="136"/>
      <c r="O106" s="114"/>
      <c r="P106" s="114"/>
      <c r="Q106" s="114"/>
      <c r="R106" s="115"/>
    </row>
    <row r="107" spans="3:18" x14ac:dyDescent="0.2">
      <c r="C107" s="116">
        <v>94</v>
      </c>
      <c r="D107" s="113" t="str">
        <f t="shared" si="9"/>
        <v>1/2/2028</v>
      </c>
      <c r="E107" s="114">
        <f t="shared" si="6"/>
        <v>185261.90710045281</v>
      </c>
      <c r="F107" s="114">
        <f t="shared" si="7"/>
        <v>8034.5549126813685</v>
      </c>
      <c r="G107" s="114">
        <f t="shared" si="8"/>
        <v>177227.35218777144</v>
      </c>
      <c r="H107" s="115">
        <f t="shared" si="5"/>
        <v>11594410.76016238</v>
      </c>
      <c r="J107" s="116"/>
      <c r="K107" s="133"/>
      <c r="L107" s="134"/>
      <c r="M107" s="135"/>
      <c r="N107" s="136"/>
      <c r="O107" s="114"/>
      <c r="P107" s="114"/>
      <c r="Q107" s="114"/>
      <c r="R107" s="115"/>
    </row>
    <row r="108" spans="3:18" x14ac:dyDescent="0.2">
      <c r="C108" s="116">
        <v>95</v>
      </c>
      <c r="D108" s="113" t="str">
        <f t="shared" si="9"/>
        <v>2/2/2028</v>
      </c>
      <c r="E108" s="114">
        <f t="shared" si="6"/>
        <v>185261.90710045281</v>
      </c>
      <c r="F108" s="114">
        <f t="shared" si="7"/>
        <v>8157.2827389725762</v>
      </c>
      <c r="G108" s="114">
        <f t="shared" si="8"/>
        <v>177104.62436148021</v>
      </c>
      <c r="H108" s="115">
        <f t="shared" si="5"/>
        <v>11586253.477423407</v>
      </c>
      <c r="J108" s="116"/>
      <c r="K108" s="133"/>
      <c r="L108" s="134"/>
      <c r="M108" s="135"/>
      <c r="N108" s="136"/>
      <c r="O108" s="114"/>
      <c r="P108" s="114"/>
      <c r="Q108" s="114"/>
      <c r="R108" s="115"/>
    </row>
    <row r="109" spans="3:18" x14ac:dyDescent="0.2">
      <c r="C109" s="112">
        <v>96</v>
      </c>
      <c r="D109" s="113" t="str">
        <f t="shared" si="9"/>
        <v>3/2/2028</v>
      </c>
      <c r="E109" s="114">
        <f t="shared" si="6"/>
        <v>185261.90710045281</v>
      </c>
      <c r="F109" s="114">
        <f t="shared" si="7"/>
        <v>8281.8852328103803</v>
      </c>
      <c r="G109" s="114">
        <f t="shared" si="8"/>
        <v>176980.02186764241</v>
      </c>
      <c r="H109" s="115">
        <f t="shared" si="5"/>
        <v>11577971.592190597</v>
      </c>
      <c r="J109" s="112"/>
      <c r="K109" s="133"/>
      <c r="L109" s="134"/>
      <c r="M109" s="135"/>
      <c r="N109" s="136"/>
      <c r="O109" s="114"/>
      <c r="P109" s="114"/>
      <c r="Q109" s="114"/>
      <c r="R109" s="115"/>
    </row>
    <row r="110" spans="3:18" x14ac:dyDescent="0.2">
      <c r="C110" s="116">
        <v>97</v>
      </c>
      <c r="D110" s="113" t="str">
        <f t="shared" si="9"/>
        <v>4/2/2028</v>
      </c>
      <c r="E110" s="114">
        <f t="shared" si="6"/>
        <v>185261.90710045281</v>
      </c>
      <c r="F110" s="114">
        <f t="shared" si="7"/>
        <v>8408.3910297415587</v>
      </c>
      <c r="G110" s="114">
        <f t="shared" si="8"/>
        <v>176853.51607071125</v>
      </c>
      <c r="H110" s="115">
        <f t="shared" si="5"/>
        <v>11569563.201160856</v>
      </c>
      <c r="J110" s="116"/>
      <c r="K110" s="133"/>
      <c r="L110" s="134"/>
      <c r="M110" s="135"/>
      <c r="N110" s="136"/>
      <c r="O110" s="114"/>
      <c r="P110" s="114"/>
      <c r="Q110" s="114"/>
      <c r="R110" s="115"/>
    </row>
    <row r="111" spans="3:18" x14ac:dyDescent="0.2">
      <c r="C111" s="116">
        <v>98</v>
      </c>
      <c r="D111" s="113" t="str">
        <f t="shared" si="9"/>
        <v>5/2/2028</v>
      </c>
      <c r="E111" s="114">
        <f t="shared" si="6"/>
        <v>185261.90710045281</v>
      </c>
      <c r="F111" s="114">
        <f t="shared" si="7"/>
        <v>8536.8292027208608</v>
      </c>
      <c r="G111" s="114">
        <f t="shared" si="8"/>
        <v>176725.07789773194</v>
      </c>
      <c r="H111" s="115">
        <f t="shared" si="5"/>
        <v>11561026.371958135</v>
      </c>
      <c r="J111" s="116"/>
      <c r="K111" s="133"/>
      <c r="L111" s="134"/>
      <c r="M111" s="135"/>
      <c r="N111" s="136"/>
      <c r="O111" s="114"/>
      <c r="P111" s="114"/>
      <c r="Q111" s="114"/>
      <c r="R111" s="115"/>
    </row>
    <row r="112" spans="3:18" x14ac:dyDescent="0.2">
      <c r="C112" s="112">
        <v>99</v>
      </c>
      <c r="D112" s="113" t="str">
        <f t="shared" si="9"/>
        <v>6/2/2028</v>
      </c>
      <c r="E112" s="114">
        <f t="shared" si="6"/>
        <v>185261.90710045281</v>
      </c>
      <c r="F112" s="114">
        <f t="shared" si="7"/>
        <v>8667.2292687924219</v>
      </c>
      <c r="G112" s="114">
        <f t="shared" si="8"/>
        <v>176594.67783166037</v>
      </c>
      <c r="H112" s="115">
        <f t="shared" si="5"/>
        <v>11552359.142689342</v>
      </c>
      <c r="J112" s="112"/>
      <c r="K112" s="133"/>
      <c r="L112" s="134"/>
      <c r="M112" s="135"/>
      <c r="N112" s="136"/>
      <c r="O112" s="114"/>
      <c r="P112" s="114"/>
      <c r="Q112" s="114"/>
      <c r="R112" s="115"/>
    </row>
    <row r="113" spans="3:18" x14ac:dyDescent="0.2">
      <c r="C113" s="116">
        <v>100</v>
      </c>
      <c r="D113" s="113" t="str">
        <f t="shared" si="9"/>
        <v>7/2/2028</v>
      </c>
      <c r="E113" s="114">
        <f t="shared" si="6"/>
        <v>185261.90710045281</v>
      </c>
      <c r="F113" s="114">
        <f t="shared" si="7"/>
        <v>8799.6211958732256</v>
      </c>
      <c r="G113" s="114">
        <f t="shared" si="8"/>
        <v>176462.28590457956</v>
      </c>
      <c r="H113" s="115">
        <f t="shared" si="5"/>
        <v>11543559.521493468</v>
      </c>
      <c r="J113" s="116"/>
      <c r="K113" s="133"/>
      <c r="L113" s="134"/>
      <c r="M113" s="135"/>
      <c r="N113" s="136"/>
      <c r="O113" s="114"/>
      <c r="P113" s="114"/>
      <c r="Q113" s="114"/>
      <c r="R113" s="115"/>
    </row>
    <row r="114" spans="3:18" x14ac:dyDescent="0.2">
      <c r="C114" s="116">
        <v>101</v>
      </c>
      <c r="D114" s="113" t="str">
        <f t="shared" si="9"/>
        <v>8/2/2028</v>
      </c>
      <c r="E114" s="114">
        <f t="shared" si="6"/>
        <v>185261.90710045281</v>
      </c>
      <c r="F114" s="114">
        <f t="shared" si="7"/>
        <v>8934.0354096401916</v>
      </c>
      <c r="G114" s="114">
        <f t="shared" si="8"/>
        <v>176327.87169081264</v>
      </c>
      <c r="H114" s="115">
        <f t="shared" si="5"/>
        <v>11534625.486083828</v>
      </c>
      <c r="J114" s="116"/>
      <c r="K114" s="133"/>
      <c r="L114" s="134"/>
      <c r="M114" s="135"/>
      <c r="N114" s="136"/>
      <c r="O114" s="114"/>
      <c r="P114" s="114"/>
      <c r="Q114" s="114"/>
      <c r="R114" s="115"/>
    </row>
    <row r="115" spans="3:18" x14ac:dyDescent="0.2">
      <c r="C115" s="112">
        <v>102</v>
      </c>
      <c r="D115" s="113" t="str">
        <f t="shared" si="9"/>
        <v>9/2/2028</v>
      </c>
      <c r="E115" s="114">
        <f t="shared" si="6"/>
        <v>185261.90710045281</v>
      </c>
      <c r="F115" s="114">
        <f t="shared" si="7"/>
        <v>9070.5028005224467</v>
      </c>
      <c r="G115" s="114">
        <f t="shared" si="8"/>
        <v>176191.40429993038</v>
      </c>
      <c r="H115" s="115">
        <f t="shared" si="5"/>
        <v>11525554.983283306</v>
      </c>
      <c r="J115" s="112"/>
      <c r="K115" s="133"/>
      <c r="L115" s="134"/>
      <c r="M115" s="135"/>
      <c r="N115" s="136"/>
      <c r="O115" s="114"/>
      <c r="P115" s="114"/>
      <c r="Q115" s="114"/>
      <c r="R115" s="115"/>
    </row>
    <row r="116" spans="3:18" x14ac:dyDescent="0.2">
      <c r="C116" s="116">
        <v>103</v>
      </c>
      <c r="D116" s="113" t="str">
        <f t="shared" si="9"/>
        <v>10/2/2028</v>
      </c>
      <c r="E116" s="114">
        <f t="shared" si="6"/>
        <v>185261.90710045281</v>
      </c>
      <c r="F116" s="114">
        <f t="shared" si="7"/>
        <v>9209.0547308004243</v>
      </c>
      <c r="G116" s="114">
        <f t="shared" si="8"/>
        <v>176052.85236965236</v>
      </c>
      <c r="H116" s="115">
        <f t="shared" si="5"/>
        <v>11516345.928552505</v>
      </c>
      <c r="J116" s="116"/>
      <c r="K116" s="133"/>
      <c r="L116" s="134"/>
      <c r="M116" s="135"/>
      <c r="N116" s="136"/>
      <c r="O116" s="114"/>
      <c r="P116" s="114"/>
      <c r="Q116" s="114"/>
      <c r="R116" s="115"/>
    </row>
    <row r="117" spans="3:18" x14ac:dyDescent="0.2">
      <c r="C117" s="116">
        <v>104</v>
      </c>
      <c r="D117" s="113" t="str">
        <f t="shared" si="9"/>
        <v>11/2/2028</v>
      </c>
      <c r="E117" s="114">
        <f t="shared" si="6"/>
        <v>185261.90710045281</v>
      </c>
      <c r="F117" s="114">
        <f t="shared" si="7"/>
        <v>9349.7230418134022</v>
      </c>
      <c r="G117" s="114">
        <f t="shared" si="8"/>
        <v>175912.1840586394</v>
      </c>
      <c r="H117" s="115">
        <f t="shared" si="5"/>
        <v>11506996.205510691</v>
      </c>
      <c r="J117" s="116"/>
      <c r="K117" s="133"/>
      <c r="L117" s="134"/>
      <c r="M117" s="135"/>
      <c r="N117" s="136"/>
      <c r="O117" s="114"/>
      <c r="P117" s="114"/>
      <c r="Q117" s="114"/>
      <c r="R117" s="115"/>
    </row>
    <row r="118" spans="3:18" x14ac:dyDescent="0.2">
      <c r="C118" s="112">
        <v>105</v>
      </c>
      <c r="D118" s="113" t="str">
        <f t="shared" si="9"/>
        <v>12/2/2028</v>
      </c>
      <c r="E118" s="114">
        <f t="shared" si="6"/>
        <v>185261.90710045281</v>
      </c>
      <c r="F118" s="114">
        <f t="shared" si="7"/>
        <v>9492.5400612771009</v>
      </c>
      <c r="G118" s="114">
        <f t="shared" si="8"/>
        <v>175769.3670391757</v>
      </c>
      <c r="H118" s="115">
        <f t="shared" si="5"/>
        <v>11497503.665449414</v>
      </c>
      <c r="J118" s="112"/>
      <c r="K118" s="133"/>
      <c r="L118" s="134"/>
      <c r="M118" s="135"/>
      <c r="N118" s="136"/>
      <c r="O118" s="114"/>
      <c r="P118" s="114"/>
      <c r="Q118" s="114"/>
      <c r="R118" s="115"/>
    </row>
    <row r="119" spans="3:18" x14ac:dyDescent="0.2">
      <c r="C119" s="116">
        <v>106</v>
      </c>
      <c r="D119" s="113" t="str">
        <f t="shared" si="9"/>
        <v>1/2/2029</v>
      </c>
      <c r="E119" s="114">
        <f t="shared" si="6"/>
        <v>185261.90710045281</v>
      </c>
      <c r="F119" s="114">
        <f t="shared" si="7"/>
        <v>9637.5386107131089</v>
      </c>
      <c r="G119" s="114">
        <f t="shared" si="8"/>
        <v>175624.36848973972</v>
      </c>
      <c r="H119" s="115">
        <f t="shared" si="5"/>
        <v>11487866.126838701</v>
      </c>
      <c r="J119" s="116"/>
      <c r="K119" s="133"/>
      <c r="L119" s="134"/>
      <c r="M119" s="135"/>
      <c r="N119" s="136"/>
      <c r="O119" s="114"/>
      <c r="P119" s="114"/>
      <c r="Q119" s="114"/>
      <c r="R119" s="115"/>
    </row>
    <row r="120" spans="3:18" x14ac:dyDescent="0.2">
      <c r="C120" s="116">
        <v>107</v>
      </c>
      <c r="D120" s="113" t="str">
        <f t="shared" si="9"/>
        <v>2/2/2029</v>
      </c>
      <c r="E120" s="114">
        <f t="shared" si="6"/>
        <v>185261.90710045281</v>
      </c>
      <c r="F120" s="114">
        <f t="shared" si="7"/>
        <v>9784.7520129917502</v>
      </c>
      <c r="G120" s="114">
        <f t="shared" si="8"/>
        <v>175477.15508746105</v>
      </c>
      <c r="H120" s="115">
        <f t="shared" si="5"/>
        <v>11478081.374825709</v>
      </c>
      <c r="J120" s="116"/>
      <c r="K120" s="133"/>
      <c r="L120" s="134"/>
      <c r="M120" s="135"/>
      <c r="N120" s="136"/>
      <c r="O120" s="114"/>
      <c r="P120" s="114"/>
      <c r="Q120" s="114"/>
      <c r="R120" s="115"/>
    </row>
    <row r="121" spans="3:18" x14ac:dyDescent="0.2">
      <c r="C121" s="112">
        <v>108</v>
      </c>
      <c r="D121" s="113" t="str">
        <f t="shared" si="9"/>
        <v>3/2/2029</v>
      </c>
      <c r="E121" s="114">
        <f t="shared" si="6"/>
        <v>185261.90710045281</v>
      </c>
      <c r="F121" s="114">
        <f t="shared" si="7"/>
        <v>9934.2140999901985</v>
      </c>
      <c r="G121" s="114">
        <f t="shared" si="8"/>
        <v>175327.6930004626</v>
      </c>
      <c r="H121" s="115">
        <f t="shared" si="5"/>
        <v>11468147.160725718</v>
      </c>
      <c r="J121" s="112"/>
      <c r="K121" s="133"/>
      <c r="L121" s="134"/>
      <c r="M121" s="135"/>
      <c r="N121" s="136"/>
      <c r="O121" s="114"/>
      <c r="P121" s="114"/>
      <c r="Q121" s="114"/>
      <c r="R121" s="115"/>
    </row>
    <row r="122" spans="3:18" x14ac:dyDescent="0.2">
      <c r="C122" s="116">
        <v>109</v>
      </c>
      <c r="D122" s="113" t="str">
        <f t="shared" si="9"/>
        <v>4/2/2029</v>
      </c>
      <c r="E122" s="114">
        <f t="shared" si="6"/>
        <v>185261.90710045281</v>
      </c>
      <c r="F122" s="114">
        <f t="shared" si="7"/>
        <v>10085.959220367553</v>
      </c>
      <c r="G122" s="114">
        <f t="shared" si="8"/>
        <v>175175.94788008524</v>
      </c>
      <c r="H122" s="115">
        <f t="shared" si="5"/>
        <v>11458061.20150535</v>
      </c>
      <c r="J122" s="116"/>
      <c r="K122" s="133"/>
      <c r="L122" s="134"/>
      <c r="M122" s="135"/>
      <c r="N122" s="136"/>
      <c r="O122" s="114"/>
      <c r="P122" s="114"/>
      <c r="Q122" s="114"/>
      <c r="R122" s="115"/>
    </row>
    <row r="123" spans="3:18" x14ac:dyDescent="0.2">
      <c r="C123" s="116">
        <v>110</v>
      </c>
      <c r="D123" s="113" t="str">
        <f t="shared" si="9"/>
        <v>5/2/2029</v>
      </c>
      <c r="E123" s="114">
        <f t="shared" si="6"/>
        <v>185261.90710045281</v>
      </c>
      <c r="F123" s="114">
        <f t="shared" si="7"/>
        <v>10240.022247458666</v>
      </c>
      <c r="G123" s="114">
        <f t="shared" si="8"/>
        <v>175021.88485299415</v>
      </c>
      <c r="H123" s="115">
        <f t="shared" si="5"/>
        <v>11447821.179257892</v>
      </c>
      <c r="J123" s="116"/>
      <c r="K123" s="133"/>
      <c r="L123" s="134"/>
      <c r="M123" s="135"/>
      <c r="N123" s="136"/>
      <c r="O123" s="114"/>
      <c r="P123" s="114"/>
      <c r="Q123" s="114"/>
      <c r="R123" s="115"/>
    </row>
    <row r="124" spans="3:18" x14ac:dyDescent="0.2">
      <c r="C124" s="112">
        <v>111</v>
      </c>
      <c r="D124" s="113" t="str">
        <f t="shared" si="9"/>
        <v>6/2/2029</v>
      </c>
      <c r="E124" s="114">
        <f t="shared" si="6"/>
        <v>185261.90710045281</v>
      </c>
      <c r="F124" s="114">
        <f t="shared" si="7"/>
        <v>10396.438587288598</v>
      </c>
      <c r="G124" s="114">
        <f t="shared" si="8"/>
        <v>174865.4685131642</v>
      </c>
      <c r="H124" s="115">
        <f t="shared" si="5"/>
        <v>11437424.740670603</v>
      </c>
      <c r="J124" s="112"/>
      <c r="K124" s="133"/>
      <c r="L124" s="134"/>
      <c r="M124" s="135"/>
      <c r="N124" s="136"/>
      <c r="O124" s="114"/>
      <c r="P124" s="114"/>
      <c r="Q124" s="114"/>
      <c r="R124" s="115"/>
    </row>
    <row r="125" spans="3:18" x14ac:dyDescent="0.2">
      <c r="C125" s="116">
        <v>112</v>
      </c>
      <c r="D125" s="113" t="str">
        <f t="shared" si="9"/>
        <v>7/2/2029</v>
      </c>
      <c r="E125" s="114">
        <f t="shared" si="6"/>
        <v>185261.90710045281</v>
      </c>
      <c r="F125" s="114">
        <f t="shared" si="7"/>
        <v>10555.244186709429</v>
      </c>
      <c r="G125" s="114">
        <f t="shared" si="8"/>
        <v>174706.66291374335</v>
      </c>
      <c r="H125" s="115">
        <f t="shared" si="5"/>
        <v>11426869.496483894</v>
      </c>
      <c r="J125" s="116"/>
      <c r="K125" s="133"/>
      <c r="L125" s="134"/>
      <c r="M125" s="135"/>
      <c r="N125" s="136"/>
      <c r="O125" s="114"/>
      <c r="P125" s="114"/>
      <c r="Q125" s="114"/>
      <c r="R125" s="115"/>
    </row>
    <row r="126" spans="3:18" x14ac:dyDescent="0.2">
      <c r="C126" s="116">
        <v>113</v>
      </c>
      <c r="D126" s="113" t="str">
        <f t="shared" si="9"/>
        <v>8/2/2029</v>
      </c>
      <c r="E126" s="114">
        <f t="shared" si="6"/>
        <v>185261.90710045281</v>
      </c>
      <c r="F126" s="114">
        <f t="shared" si="7"/>
        <v>10716.475541661417</v>
      </c>
      <c r="G126" s="114">
        <f t="shared" si="8"/>
        <v>174545.43155879137</v>
      </c>
      <c r="H126" s="115">
        <f t="shared" si="5"/>
        <v>11416153.020942234</v>
      </c>
      <c r="J126" s="116"/>
      <c r="K126" s="133"/>
      <c r="L126" s="134"/>
      <c r="M126" s="135"/>
      <c r="N126" s="136"/>
      <c r="O126" s="114"/>
      <c r="P126" s="114"/>
      <c r="Q126" s="114"/>
      <c r="R126" s="115"/>
    </row>
    <row r="127" spans="3:18" x14ac:dyDescent="0.2">
      <c r="C127" s="112">
        <v>114</v>
      </c>
      <c r="D127" s="113" t="str">
        <f t="shared" si="9"/>
        <v>9/2/2029</v>
      </c>
      <c r="E127" s="114">
        <f t="shared" si="6"/>
        <v>185261.90710045281</v>
      </c>
      <c r="F127" s="114">
        <f t="shared" si="7"/>
        <v>10880.169705560294</v>
      </c>
      <c r="G127" s="114">
        <f t="shared" si="8"/>
        <v>174381.73739489249</v>
      </c>
      <c r="H127" s="115">
        <f t="shared" si="5"/>
        <v>11405272.851236673</v>
      </c>
      <c r="J127" s="112"/>
      <c r="K127" s="133"/>
      <c r="L127" s="134"/>
      <c r="M127" s="135"/>
      <c r="N127" s="136"/>
      <c r="O127" s="114"/>
      <c r="P127" s="114"/>
      <c r="Q127" s="114"/>
      <c r="R127" s="115"/>
    </row>
    <row r="128" spans="3:18" x14ac:dyDescent="0.2">
      <c r="C128" s="116">
        <v>115</v>
      </c>
      <c r="D128" s="113" t="str">
        <f t="shared" si="9"/>
        <v>10/2/2029</v>
      </c>
      <c r="E128" s="114">
        <f t="shared" si="6"/>
        <v>185261.90710045281</v>
      </c>
      <c r="F128" s="114">
        <f t="shared" si="7"/>
        <v>11046.364297812726</v>
      </c>
      <c r="G128" s="114">
        <f t="shared" si="8"/>
        <v>174215.54280264009</v>
      </c>
      <c r="H128" s="115">
        <f t="shared" si="5"/>
        <v>11394226.48693886</v>
      </c>
      <c r="J128" s="116"/>
      <c r="K128" s="133"/>
      <c r="L128" s="134"/>
      <c r="M128" s="135"/>
      <c r="N128" s="136"/>
      <c r="O128" s="114"/>
      <c r="P128" s="114"/>
      <c r="Q128" s="114"/>
      <c r="R128" s="115"/>
    </row>
    <row r="129" spans="3:18" x14ac:dyDescent="0.2">
      <c r="C129" s="116">
        <v>116</v>
      </c>
      <c r="D129" s="113" t="str">
        <f t="shared" si="9"/>
        <v>11/2/2029</v>
      </c>
      <c r="E129" s="114">
        <f t="shared" si="6"/>
        <v>185261.90710045281</v>
      </c>
      <c r="F129" s="114">
        <f t="shared" si="7"/>
        <v>11215.097512461816</v>
      </c>
      <c r="G129" s="114">
        <f t="shared" si="8"/>
        <v>174046.80958799098</v>
      </c>
      <c r="H129" s="115">
        <f t="shared" si="5"/>
        <v>11383011.389426399</v>
      </c>
      <c r="J129" s="116"/>
      <c r="K129" s="133"/>
      <c r="L129" s="134"/>
      <c r="M129" s="135"/>
      <c r="N129" s="136"/>
      <c r="O129" s="114"/>
      <c r="P129" s="114"/>
      <c r="Q129" s="114"/>
      <c r="R129" s="115"/>
    </row>
    <row r="130" spans="3:18" x14ac:dyDescent="0.2">
      <c r="C130" s="112">
        <v>117</v>
      </c>
      <c r="D130" s="113" t="str">
        <f t="shared" si="9"/>
        <v>12/2/2029</v>
      </c>
      <c r="E130" s="114">
        <f t="shared" si="6"/>
        <v>185261.90710045281</v>
      </c>
      <c r="F130" s="114">
        <f t="shared" si="7"/>
        <v>11386.408126964669</v>
      </c>
      <c r="G130" s="114">
        <f t="shared" si="8"/>
        <v>173875.49897348814</v>
      </c>
      <c r="H130" s="115">
        <f t="shared" si="5"/>
        <v>11371624.981299434</v>
      </c>
      <c r="J130" s="112"/>
      <c r="K130" s="133"/>
      <c r="L130" s="134"/>
      <c r="M130" s="135"/>
      <c r="N130" s="136"/>
      <c r="O130" s="114"/>
      <c r="P130" s="114"/>
      <c r="Q130" s="114"/>
      <c r="R130" s="115"/>
    </row>
    <row r="131" spans="3:18" x14ac:dyDescent="0.2">
      <c r="C131" s="116">
        <v>118</v>
      </c>
      <c r="D131" s="113" t="str">
        <f t="shared" si="9"/>
        <v>1/2/2030</v>
      </c>
      <c r="E131" s="114">
        <f t="shared" si="6"/>
        <v>185261.90710045281</v>
      </c>
      <c r="F131" s="114">
        <f t="shared" si="7"/>
        <v>11560.33551110406</v>
      </c>
      <c r="G131" s="114">
        <f t="shared" si="8"/>
        <v>173701.57158934872</v>
      </c>
      <c r="H131" s="115">
        <f t="shared" si="5"/>
        <v>11360064.645788331</v>
      </c>
      <c r="J131" s="116"/>
      <c r="K131" s="133"/>
      <c r="L131" s="134"/>
      <c r="M131" s="135"/>
      <c r="N131" s="136"/>
      <c r="O131" s="114"/>
      <c r="P131" s="114"/>
      <c r="Q131" s="114"/>
      <c r="R131" s="115"/>
    </row>
    <row r="132" spans="3:18" x14ac:dyDescent="0.2">
      <c r="C132" s="116">
        <v>119</v>
      </c>
      <c r="D132" s="113" t="str">
        <f t="shared" si="9"/>
        <v>2/2/2030</v>
      </c>
      <c r="E132" s="114">
        <f t="shared" si="6"/>
        <v>185261.90710045281</v>
      </c>
      <c r="F132" s="114">
        <f t="shared" si="7"/>
        <v>11736.919636036173</v>
      </c>
      <c r="G132" s="114">
        <f t="shared" si="8"/>
        <v>173524.98746441663</v>
      </c>
      <c r="H132" s="115">
        <f t="shared" si="5"/>
        <v>11348327.726152295</v>
      </c>
      <c r="J132" s="116"/>
      <c r="K132" s="133"/>
      <c r="L132" s="134"/>
      <c r="M132" s="135"/>
      <c r="N132" s="136"/>
      <c r="O132" s="114"/>
      <c r="P132" s="114"/>
      <c r="Q132" s="114"/>
      <c r="R132" s="115"/>
    </row>
    <row r="133" spans="3:18" x14ac:dyDescent="0.2">
      <c r="C133" s="112">
        <v>120</v>
      </c>
      <c r="D133" s="113" t="str">
        <f t="shared" si="9"/>
        <v>3/2/2030</v>
      </c>
      <c r="E133" s="114">
        <f t="shared" si="6"/>
        <v>185261.90710045281</v>
      </c>
      <c r="F133" s="114">
        <f t="shared" si="7"/>
        <v>11916.201083476624</v>
      </c>
      <c r="G133" s="114">
        <f t="shared" si="8"/>
        <v>173345.70601697618</v>
      </c>
      <c r="H133" s="115">
        <f t="shared" si="5"/>
        <v>11336411.52506882</v>
      </c>
      <c r="J133" s="112"/>
      <c r="K133" s="133"/>
      <c r="L133" s="134"/>
      <c r="M133" s="135"/>
      <c r="N133" s="136"/>
      <c r="O133" s="114"/>
      <c r="P133" s="114"/>
      <c r="Q133" s="114"/>
      <c r="R133" s="115"/>
    </row>
    <row r="134" spans="3:18" x14ac:dyDescent="0.2">
      <c r="C134" s="116">
        <v>121</v>
      </c>
      <c r="D134" s="113" t="str">
        <f t="shared" si="9"/>
        <v>4/2/2030</v>
      </c>
      <c r="E134" s="114">
        <f t="shared" si="6"/>
        <v>185261.90710045281</v>
      </c>
      <c r="F134" s="114">
        <f t="shared" si="7"/>
        <v>12098.22105502673</v>
      </c>
      <c r="G134" s="114">
        <f t="shared" si="8"/>
        <v>173163.68604542609</v>
      </c>
      <c r="H134" s="115">
        <f t="shared" si="5"/>
        <v>11324313.304013792</v>
      </c>
      <c r="J134" s="116"/>
      <c r="K134" s="133"/>
      <c r="L134" s="134"/>
      <c r="M134" s="135"/>
      <c r="N134" s="136"/>
      <c r="O134" s="114"/>
      <c r="P134" s="114"/>
      <c r="Q134" s="114"/>
      <c r="R134" s="115"/>
    </row>
    <row r="135" spans="3:18" x14ac:dyDescent="0.2">
      <c r="C135" s="116">
        <v>122</v>
      </c>
      <c r="D135" s="113" t="str">
        <f t="shared" si="9"/>
        <v>5/2/2030</v>
      </c>
      <c r="E135" s="114">
        <f t="shared" si="6"/>
        <v>185261.90710045281</v>
      </c>
      <c r="F135" s="114">
        <f t="shared" si="7"/>
        <v>12283.021381642264</v>
      </c>
      <c r="G135" s="114">
        <f t="shared" si="8"/>
        <v>172978.88571881052</v>
      </c>
      <c r="H135" s="115">
        <f t="shared" si="5"/>
        <v>11312030.28263215</v>
      </c>
      <c r="J135" s="116"/>
      <c r="K135" s="133"/>
      <c r="L135" s="134"/>
      <c r="M135" s="135"/>
      <c r="N135" s="136"/>
      <c r="O135" s="114"/>
      <c r="P135" s="114"/>
      <c r="Q135" s="114"/>
      <c r="R135" s="115"/>
    </row>
    <row r="136" spans="3:18" x14ac:dyDescent="0.2">
      <c r="C136" s="112">
        <v>123</v>
      </c>
      <c r="D136" s="113" t="str">
        <f t="shared" si="9"/>
        <v>6/2/2030</v>
      </c>
      <c r="E136" s="114">
        <f t="shared" si="6"/>
        <v>185261.90710045281</v>
      </c>
      <c r="F136" s="114">
        <f t="shared" si="7"/>
        <v>12470.644533246847</v>
      </c>
      <c r="G136" s="114">
        <f t="shared" si="8"/>
        <v>172791.26256720597</v>
      </c>
      <c r="H136" s="115">
        <f t="shared" si="5"/>
        <v>11299559.638098903</v>
      </c>
      <c r="J136" s="112"/>
      <c r="K136" s="133"/>
      <c r="L136" s="134"/>
      <c r="M136" s="135"/>
      <c r="N136" s="136"/>
      <c r="O136" s="114"/>
      <c r="P136" s="114"/>
      <c r="Q136" s="114"/>
      <c r="R136" s="115"/>
    </row>
    <row r="137" spans="3:18" x14ac:dyDescent="0.2">
      <c r="C137" s="116">
        <v>124</v>
      </c>
      <c r="D137" s="113" t="str">
        <f t="shared" si="9"/>
        <v>7/2/2030</v>
      </c>
      <c r="E137" s="114">
        <f t="shared" si="6"/>
        <v>185261.90710045281</v>
      </c>
      <c r="F137" s="114">
        <f t="shared" si="7"/>
        <v>12661.133628492191</v>
      </c>
      <c r="G137" s="114">
        <f t="shared" si="8"/>
        <v>172600.77347196062</v>
      </c>
      <c r="H137" s="115">
        <f t="shared" si="5"/>
        <v>11286898.504470412</v>
      </c>
      <c r="J137" s="116"/>
      <c r="K137" s="133"/>
      <c r="L137" s="134"/>
      <c r="M137" s="135"/>
      <c r="N137" s="136"/>
      <c r="O137" s="114"/>
      <c r="P137" s="114"/>
      <c r="Q137" s="114"/>
      <c r="R137" s="115"/>
    </row>
    <row r="138" spans="3:18" x14ac:dyDescent="0.2">
      <c r="C138" s="116">
        <v>125</v>
      </c>
      <c r="D138" s="113" t="str">
        <f t="shared" si="9"/>
        <v>8/2/2030</v>
      </c>
      <c r="E138" s="114">
        <f t="shared" si="6"/>
        <v>185261.90710045281</v>
      </c>
      <c r="F138" s="114">
        <f t="shared" si="7"/>
        <v>12854.532444667411</v>
      </c>
      <c r="G138" s="114">
        <f t="shared" si="8"/>
        <v>172407.37465578542</v>
      </c>
      <c r="H138" s="115">
        <f t="shared" si="5"/>
        <v>11274043.972025745</v>
      </c>
      <c r="J138" s="116"/>
      <c r="K138" s="133"/>
      <c r="L138" s="134"/>
      <c r="M138" s="135"/>
      <c r="N138" s="136"/>
      <c r="O138" s="114"/>
      <c r="P138" s="114"/>
      <c r="Q138" s="114"/>
      <c r="R138" s="115"/>
    </row>
    <row r="139" spans="3:18" x14ac:dyDescent="0.2">
      <c r="C139" s="112">
        <v>126</v>
      </c>
      <c r="D139" s="113" t="str">
        <f t="shared" si="9"/>
        <v>9/2/2030</v>
      </c>
      <c r="E139" s="114">
        <f t="shared" si="6"/>
        <v>185261.90710045281</v>
      </c>
      <c r="F139" s="114">
        <f t="shared" si="7"/>
        <v>13050.885427759704</v>
      </c>
      <c r="G139" s="114">
        <f t="shared" si="8"/>
        <v>172211.02167269308</v>
      </c>
      <c r="H139" s="115">
        <f t="shared" si="5"/>
        <v>11260993.086597985</v>
      </c>
      <c r="J139" s="112"/>
      <c r="K139" s="133"/>
      <c r="L139" s="134"/>
      <c r="M139" s="135"/>
      <c r="N139" s="136"/>
      <c r="O139" s="114"/>
      <c r="P139" s="114"/>
      <c r="Q139" s="114"/>
      <c r="R139" s="115"/>
    </row>
    <row r="140" spans="3:18" x14ac:dyDescent="0.2">
      <c r="C140" s="116">
        <v>127</v>
      </c>
      <c r="D140" s="113" t="str">
        <f t="shared" si="9"/>
        <v>10/2/2030</v>
      </c>
      <c r="E140" s="114">
        <f t="shared" si="6"/>
        <v>185261.90710045281</v>
      </c>
      <c r="F140" s="114">
        <f t="shared" si="7"/>
        <v>13250.237702668737</v>
      </c>
      <c r="G140" s="114">
        <f t="shared" si="8"/>
        <v>172011.66939778405</v>
      </c>
      <c r="H140" s="115">
        <f t="shared" si="5"/>
        <v>11247742.848895315</v>
      </c>
      <c r="J140" s="116"/>
      <c r="K140" s="133"/>
      <c r="L140" s="134"/>
      <c r="M140" s="135"/>
      <c r="N140" s="136"/>
      <c r="O140" s="114"/>
      <c r="P140" s="114"/>
      <c r="Q140" s="114"/>
      <c r="R140" s="115"/>
    </row>
    <row r="141" spans="3:18" x14ac:dyDescent="0.2">
      <c r="C141" s="116">
        <v>128</v>
      </c>
      <c r="D141" s="113" t="str">
        <f t="shared" si="9"/>
        <v>11/2/2030</v>
      </c>
      <c r="E141" s="114">
        <f t="shared" si="6"/>
        <v>185261.90710045281</v>
      </c>
      <c r="F141" s="114">
        <f t="shared" si="7"/>
        <v>13452.635083577003</v>
      </c>
      <c r="G141" s="114">
        <f t="shared" si="8"/>
        <v>171809.2720168758</v>
      </c>
      <c r="H141" s="115">
        <f t="shared" si="5"/>
        <v>11234290.213811738</v>
      </c>
      <c r="J141" s="116"/>
      <c r="K141" s="133"/>
      <c r="L141" s="134"/>
      <c r="M141" s="135"/>
      <c r="N141" s="136"/>
      <c r="O141" s="114"/>
      <c r="P141" s="114"/>
      <c r="Q141" s="114"/>
      <c r="R141" s="115"/>
    </row>
    <row r="142" spans="3:18" x14ac:dyDescent="0.2">
      <c r="C142" s="112">
        <v>129</v>
      </c>
      <c r="D142" s="113" t="str">
        <f t="shared" si="9"/>
        <v>12/2/2030</v>
      </c>
      <c r="E142" s="114">
        <f t="shared" si="6"/>
        <v>185261.90710045281</v>
      </c>
      <c r="F142" s="114">
        <f t="shared" si="7"/>
        <v>13658.124084478641</v>
      </c>
      <c r="G142" s="114">
        <f t="shared" si="8"/>
        <v>171603.78301597416</v>
      </c>
      <c r="H142" s="115">
        <f t="shared" si="5"/>
        <v>11220632.08972726</v>
      </c>
      <c r="J142" s="112"/>
      <c r="K142" s="133"/>
      <c r="L142" s="134"/>
      <c r="M142" s="135"/>
      <c r="N142" s="136"/>
      <c r="O142" s="114"/>
      <c r="P142" s="114"/>
      <c r="Q142" s="114"/>
      <c r="R142" s="115"/>
    </row>
    <row r="143" spans="3:18" x14ac:dyDescent="0.2">
      <c r="C143" s="116">
        <v>130</v>
      </c>
      <c r="D143" s="113" t="str">
        <f t="shared" si="9"/>
        <v>1/2/2031</v>
      </c>
      <c r="E143" s="114">
        <f t="shared" si="6"/>
        <v>185261.90710045281</v>
      </c>
      <c r="F143" s="114">
        <f t="shared" si="7"/>
        <v>13866.751929869049</v>
      </c>
      <c r="G143" s="114">
        <f t="shared" si="8"/>
        <v>171395.15517058378</v>
      </c>
      <c r="H143" s="115">
        <f t="shared" ref="H143:H206" si="10">IF($B143&lt;=$C$6,H142-F143,"")</f>
        <v>11206765.33779739</v>
      </c>
      <c r="J143" s="116"/>
      <c r="K143" s="133"/>
      <c r="L143" s="134"/>
      <c r="M143" s="135"/>
      <c r="N143" s="136"/>
      <c r="O143" s="114"/>
      <c r="P143" s="114"/>
      <c r="Q143" s="114"/>
      <c r="R143" s="115"/>
    </row>
    <row r="144" spans="3:18" x14ac:dyDescent="0.2">
      <c r="C144" s="116">
        <v>131</v>
      </c>
      <c r="D144" s="113" t="str">
        <f t="shared" si="9"/>
        <v>2/2/2031</v>
      </c>
      <c r="E144" s="114">
        <f t="shared" ref="E144:E207" si="11">IF($C144&lt;=$D$6,PMT($D$8/12,$D$6,-$D$4),"")</f>
        <v>185261.90710045281</v>
      </c>
      <c r="F144" s="114">
        <f t="shared" ref="F144:F207" si="12">IF($C144&lt;=$D$6,PPMT($D$8/12,$C144,$D$6,-$D$4),"")</f>
        <v>14078.566565597799</v>
      </c>
      <c r="G144" s="114">
        <f t="shared" ref="G144:G207" si="13">IF($C144&lt;=$D$6,IPMT($D$8/12,$C144,$D$6,-$D$4),"")</f>
        <v>171183.34053485497</v>
      </c>
      <c r="H144" s="115">
        <f t="shared" si="10"/>
        <v>11192686.771231793</v>
      </c>
      <c r="J144" s="116"/>
      <c r="K144" s="133"/>
      <c r="L144" s="134"/>
      <c r="M144" s="135"/>
      <c r="N144" s="136"/>
      <c r="O144" s="114"/>
      <c r="P144" s="114"/>
      <c r="Q144" s="114"/>
      <c r="R144" s="115"/>
    </row>
    <row r="145" spans="3:18" x14ac:dyDescent="0.2">
      <c r="C145" s="112">
        <v>132</v>
      </c>
      <c r="D145" s="113" t="str">
        <f t="shared" si="9"/>
        <v>3/2/2031</v>
      </c>
      <c r="E145" s="114">
        <f t="shared" si="11"/>
        <v>185261.90710045281</v>
      </c>
      <c r="F145" s="114">
        <f t="shared" si="12"/>
        <v>14293.616669887306</v>
      </c>
      <c r="G145" s="114">
        <f t="shared" si="13"/>
        <v>170968.29043056551</v>
      </c>
      <c r="H145" s="115">
        <f t="shared" si="10"/>
        <v>11178393.154561905</v>
      </c>
      <c r="J145" s="112"/>
      <c r="K145" s="133"/>
      <c r="L145" s="134"/>
      <c r="M145" s="135"/>
      <c r="N145" s="136"/>
      <c r="O145" s="114"/>
      <c r="P145" s="114"/>
      <c r="Q145" s="114"/>
      <c r="R145" s="115"/>
    </row>
    <row r="146" spans="3:18" x14ac:dyDescent="0.2">
      <c r="C146" s="116">
        <v>133</v>
      </c>
      <c r="D146" s="113" t="str">
        <f t="shared" ref="D146:D209" si="14">CONCATENATE(IF(MONTH(D145)&lt;12,MONTH(D145)+1,MONTH(D145)-11),"/",DAY(D145),"/",IF(MONTH(D145)&lt;12,YEAR(D145),YEAR(D145)+1))</f>
        <v>4/2/2031</v>
      </c>
      <c r="E146" s="114">
        <f t="shared" si="11"/>
        <v>185261.90710045281</v>
      </c>
      <c r="F146" s="114">
        <f t="shared" si="12"/>
        <v>14511.951664519835</v>
      </c>
      <c r="G146" s="114">
        <f t="shared" si="13"/>
        <v>170749.95543593296</v>
      </c>
      <c r="H146" s="115">
        <f t="shared" si="10"/>
        <v>11163881.202897385</v>
      </c>
      <c r="J146" s="116"/>
      <c r="K146" s="133"/>
      <c r="L146" s="134"/>
      <c r="M146" s="135"/>
      <c r="N146" s="136"/>
      <c r="O146" s="114"/>
      <c r="P146" s="114"/>
      <c r="Q146" s="114"/>
      <c r="R146" s="115"/>
    </row>
    <row r="147" spans="3:18" x14ac:dyDescent="0.2">
      <c r="C147" s="116">
        <v>134</v>
      </c>
      <c r="D147" s="113" t="str">
        <f t="shared" si="14"/>
        <v>5/2/2031</v>
      </c>
      <c r="E147" s="114">
        <f t="shared" si="11"/>
        <v>185261.90710045281</v>
      </c>
      <c r="F147" s="114">
        <f t="shared" si="12"/>
        <v>14733.621726195373</v>
      </c>
      <c r="G147" s="114">
        <f t="shared" si="13"/>
        <v>170528.28537425742</v>
      </c>
      <c r="H147" s="115">
        <f t="shared" si="10"/>
        <v>11149147.581171189</v>
      </c>
      <c r="J147" s="116"/>
      <c r="K147" s="133"/>
      <c r="L147" s="134"/>
      <c r="M147" s="135"/>
      <c r="N147" s="136"/>
      <c r="O147" s="114"/>
      <c r="P147" s="114"/>
      <c r="Q147" s="114"/>
      <c r="R147" s="115"/>
    </row>
    <row r="148" spans="3:18" x14ac:dyDescent="0.2">
      <c r="C148" s="112">
        <v>135</v>
      </c>
      <c r="D148" s="113" t="str">
        <f t="shared" si="14"/>
        <v>6/2/2031</v>
      </c>
      <c r="E148" s="114">
        <f t="shared" si="11"/>
        <v>185261.90710045281</v>
      </c>
      <c r="F148" s="114">
        <f t="shared" si="12"/>
        <v>14958.677798063014</v>
      </c>
      <c r="G148" s="114">
        <f t="shared" si="13"/>
        <v>170303.22930238978</v>
      </c>
      <c r="H148" s="115">
        <f t="shared" si="10"/>
        <v>11134188.903373126</v>
      </c>
      <c r="J148" s="112"/>
      <c r="K148" s="133"/>
      <c r="L148" s="134"/>
      <c r="M148" s="135"/>
      <c r="N148" s="136"/>
      <c r="O148" s="114"/>
      <c r="P148" s="114"/>
      <c r="Q148" s="114"/>
      <c r="R148" s="115"/>
    </row>
    <row r="149" spans="3:18" x14ac:dyDescent="0.2">
      <c r="C149" s="116">
        <v>136</v>
      </c>
      <c r="D149" s="113" t="str">
        <f t="shared" si="14"/>
        <v>7/2/2031</v>
      </c>
      <c r="E149" s="114">
        <f t="shared" si="11"/>
        <v>185261.90710045281</v>
      </c>
      <c r="F149" s="114">
        <f t="shared" si="12"/>
        <v>15187.171601428425</v>
      </c>
      <c r="G149" s="114">
        <f t="shared" si="13"/>
        <v>170074.73549902436</v>
      </c>
      <c r="H149" s="115">
        <f t="shared" si="10"/>
        <v>11119001.731771698</v>
      </c>
      <c r="J149" s="116"/>
      <c r="K149" s="133"/>
      <c r="L149" s="134"/>
      <c r="M149" s="135"/>
      <c r="N149" s="136"/>
      <c r="O149" s="114"/>
      <c r="P149" s="114"/>
      <c r="Q149" s="114"/>
      <c r="R149" s="115"/>
    </row>
    <row r="150" spans="3:18" x14ac:dyDescent="0.2">
      <c r="C150" s="116">
        <v>137</v>
      </c>
      <c r="D150" s="113" t="str">
        <f t="shared" si="14"/>
        <v>8/2/2031</v>
      </c>
      <c r="E150" s="114">
        <f t="shared" si="11"/>
        <v>185261.90710045281</v>
      </c>
      <c r="F150" s="114">
        <f t="shared" si="12"/>
        <v>15419.155647640244</v>
      </c>
      <c r="G150" s="114">
        <f t="shared" si="13"/>
        <v>169842.75145281258</v>
      </c>
      <c r="H150" s="115">
        <f t="shared" si="10"/>
        <v>11103582.576124057</v>
      </c>
      <c r="J150" s="116"/>
      <c r="K150" s="133"/>
      <c r="L150" s="134"/>
      <c r="M150" s="135"/>
      <c r="N150" s="136"/>
      <c r="O150" s="114"/>
      <c r="P150" s="114"/>
      <c r="Q150" s="114"/>
      <c r="R150" s="115"/>
    </row>
    <row r="151" spans="3:18" x14ac:dyDescent="0.2">
      <c r="C151" s="112">
        <v>138</v>
      </c>
      <c r="D151" s="113" t="str">
        <f t="shared" si="14"/>
        <v>9/2/2031</v>
      </c>
      <c r="E151" s="114">
        <f t="shared" si="11"/>
        <v>185261.90710045281</v>
      </c>
      <c r="F151" s="114">
        <f t="shared" si="12"/>
        <v>15654.683250157948</v>
      </c>
      <c r="G151" s="114">
        <f t="shared" si="13"/>
        <v>169607.22385029483</v>
      </c>
      <c r="H151" s="115">
        <f t="shared" si="10"/>
        <v>11087927.8928739</v>
      </c>
      <c r="J151" s="112"/>
      <c r="K151" s="133"/>
      <c r="L151" s="134"/>
      <c r="M151" s="135"/>
      <c r="N151" s="136"/>
      <c r="O151" s="114"/>
      <c r="P151" s="114"/>
      <c r="Q151" s="114"/>
      <c r="R151" s="115"/>
    </row>
    <row r="152" spans="3:18" x14ac:dyDescent="0.2">
      <c r="C152" s="116">
        <v>139</v>
      </c>
      <c r="D152" s="113" t="str">
        <f t="shared" si="14"/>
        <v>10/2/2031</v>
      </c>
      <c r="E152" s="114">
        <f t="shared" si="11"/>
        <v>185261.90710045281</v>
      </c>
      <c r="F152" s="114">
        <f t="shared" si="12"/>
        <v>15893.808536804108</v>
      </c>
      <c r="G152" s="114">
        <f t="shared" si="13"/>
        <v>169368.0985636487</v>
      </c>
      <c r="H152" s="115">
        <f t="shared" si="10"/>
        <v>11072034.084337097</v>
      </c>
      <c r="J152" s="116"/>
      <c r="K152" s="133"/>
      <c r="L152" s="134"/>
      <c r="M152" s="135"/>
      <c r="N152" s="136"/>
      <c r="O152" s="114"/>
      <c r="P152" s="114"/>
      <c r="Q152" s="114"/>
      <c r="R152" s="115"/>
    </row>
    <row r="153" spans="3:18" x14ac:dyDescent="0.2">
      <c r="C153" s="116">
        <v>140</v>
      </c>
      <c r="D153" s="113" t="str">
        <f t="shared" si="14"/>
        <v>11/2/2031</v>
      </c>
      <c r="E153" s="114">
        <f t="shared" si="11"/>
        <v>185261.90710045281</v>
      </c>
      <c r="F153" s="114">
        <f t="shared" si="12"/>
        <v>16136.586462203792</v>
      </c>
      <c r="G153" s="114">
        <f t="shared" si="13"/>
        <v>169125.32063824902</v>
      </c>
      <c r="H153" s="115">
        <f t="shared" si="10"/>
        <v>11055897.497874893</v>
      </c>
      <c r="J153" s="116"/>
      <c r="K153" s="133"/>
      <c r="L153" s="134"/>
      <c r="M153" s="135"/>
      <c r="N153" s="136"/>
      <c r="O153" s="114"/>
      <c r="P153" s="114"/>
      <c r="Q153" s="114"/>
      <c r="R153" s="115"/>
    </row>
    <row r="154" spans="3:18" x14ac:dyDescent="0.2">
      <c r="C154" s="112">
        <v>141</v>
      </c>
      <c r="D154" s="113" t="str">
        <f t="shared" si="14"/>
        <v>12/2/2031</v>
      </c>
      <c r="E154" s="114">
        <f t="shared" si="11"/>
        <v>185261.90710045281</v>
      </c>
      <c r="F154" s="114">
        <f t="shared" si="12"/>
        <v>16383.072820413952</v>
      </c>
      <c r="G154" s="114">
        <f t="shared" si="13"/>
        <v>168878.83428003883</v>
      </c>
      <c r="H154" s="115">
        <f t="shared" si="10"/>
        <v>11039514.425054479</v>
      </c>
      <c r="J154" s="112"/>
      <c r="K154" s="133"/>
      <c r="L154" s="134"/>
      <c r="M154" s="135"/>
      <c r="N154" s="136"/>
      <c r="O154" s="114"/>
      <c r="P154" s="114"/>
      <c r="Q154" s="114"/>
      <c r="R154" s="115"/>
    </row>
    <row r="155" spans="3:18" x14ac:dyDescent="0.2">
      <c r="C155" s="116">
        <v>142</v>
      </c>
      <c r="D155" s="113" t="str">
        <f t="shared" si="14"/>
        <v>1/2/2032</v>
      </c>
      <c r="E155" s="114">
        <f t="shared" si="11"/>
        <v>185261.90710045281</v>
      </c>
      <c r="F155" s="114">
        <f t="shared" si="12"/>
        <v>16633.324257745775</v>
      </c>
      <c r="G155" s="114">
        <f t="shared" si="13"/>
        <v>168628.58284270702</v>
      </c>
      <c r="H155" s="115">
        <f t="shared" si="10"/>
        <v>11022881.100796733</v>
      </c>
      <c r="J155" s="116"/>
      <c r="K155" s="133"/>
      <c r="L155" s="134"/>
      <c r="M155" s="135"/>
      <c r="N155" s="136"/>
      <c r="O155" s="114"/>
      <c r="P155" s="114"/>
      <c r="Q155" s="114"/>
      <c r="R155" s="115"/>
    </row>
    <row r="156" spans="3:18" x14ac:dyDescent="0.2">
      <c r="C156" s="116">
        <v>143</v>
      </c>
      <c r="D156" s="113" t="str">
        <f t="shared" si="14"/>
        <v>2/2/2032</v>
      </c>
      <c r="E156" s="114">
        <f t="shared" si="11"/>
        <v>185261.90710045281</v>
      </c>
      <c r="F156" s="114">
        <f t="shared" si="12"/>
        <v>16887.398285782841</v>
      </c>
      <c r="G156" s="114">
        <f t="shared" si="13"/>
        <v>168374.50881466994</v>
      </c>
      <c r="H156" s="115">
        <f t="shared" si="10"/>
        <v>11005993.702510951</v>
      </c>
      <c r="J156" s="116"/>
      <c r="K156" s="133"/>
      <c r="L156" s="134"/>
      <c r="M156" s="135"/>
      <c r="N156" s="136"/>
      <c r="O156" s="114"/>
      <c r="P156" s="114"/>
      <c r="Q156" s="114"/>
      <c r="R156" s="115"/>
    </row>
    <row r="157" spans="3:18" x14ac:dyDescent="0.2">
      <c r="C157" s="112">
        <v>144</v>
      </c>
      <c r="D157" s="113" t="str">
        <f t="shared" si="14"/>
        <v>3/2/2032</v>
      </c>
      <c r="E157" s="114">
        <f t="shared" si="11"/>
        <v>185261.90710045281</v>
      </c>
      <c r="F157" s="114">
        <f t="shared" si="12"/>
        <v>17145.353294598182</v>
      </c>
      <c r="G157" s="114">
        <f t="shared" si="13"/>
        <v>168116.55380585461</v>
      </c>
      <c r="H157" s="115">
        <f t="shared" si="10"/>
        <v>10988848.349216353</v>
      </c>
      <c r="J157" s="112"/>
      <c r="K157" s="133"/>
      <c r="L157" s="134"/>
      <c r="M157" s="135"/>
      <c r="N157" s="136"/>
      <c r="O157" s="114"/>
      <c r="P157" s="114"/>
      <c r="Q157" s="114"/>
      <c r="R157" s="115"/>
    </row>
    <row r="158" spans="3:18" x14ac:dyDescent="0.2">
      <c r="C158" s="116">
        <v>145</v>
      </c>
      <c r="D158" s="113" t="str">
        <f t="shared" si="14"/>
        <v>4/2/2032</v>
      </c>
      <c r="E158" s="114">
        <f t="shared" si="11"/>
        <v>185261.90710045281</v>
      </c>
      <c r="F158" s="114">
        <f t="shared" si="12"/>
        <v>17407.248566173166</v>
      </c>
      <c r="G158" s="114">
        <f t="shared" si="13"/>
        <v>167854.65853427965</v>
      </c>
      <c r="H158" s="115">
        <f t="shared" si="10"/>
        <v>10971441.10065018</v>
      </c>
      <c r="J158" s="116"/>
      <c r="K158" s="133"/>
      <c r="L158" s="134"/>
      <c r="M158" s="135"/>
      <c r="N158" s="136"/>
      <c r="O158" s="114"/>
      <c r="P158" s="114"/>
      <c r="Q158" s="114"/>
      <c r="R158" s="115"/>
    </row>
    <row r="159" spans="3:18" x14ac:dyDescent="0.2">
      <c r="C159" s="116">
        <v>146</v>
      </c>
      <c r="D159" s="113" t="str">
        <f t="shared" si="14"/>
        <v>5/2/2032</v>
      </c>
      <c r="E159" s="114">
        <f t="shared" si="11"/>
        <v>185261.90710045281</v>
      </c>
      <c r="F159" s="114">
        <f t="shared" si="12"/>
        <v>17673.144288021464</v>
      </c>
      <c r="G159" s="114">
        <f t="shared" si="13"/>
        <v>167588.76281243135</v>
      </c>
      <c r="H159" s="115">
        <f t="shared" si="10"/>
        <v>10953767.956362158</v>
      </c>
      <c r="J159" s="116"/>
      <c r="K159" s="133"/>
      <c r="L159" s="134"/>
      <c r="M159" s="135"/>
      <c r="N159" s="136"/>
      <c r="O159" s="114"/>
      <c r="P159" s="114"/>
      <c r="Q159" s="114"/>
      <c r="R159" s="115"/>
    </row>
    <row r="160" spans="3:18" x14ac:dyDescent="0.2">
      <c r="C160" s="112">
        <v>147</v>
      </c>
      <c r="D160" s="113" t="str">
        <f t="shared" si="14"/>
        <v>6/2/2032</v>
      </c>
      <c r="E160" s="114">
        <f t="shared" si="11"/>
        <v>185261.90710045281</v>
      </c>
      <c r="F160" s="114">
        <f t="shared" si="12"/>
        <v>17943.101567020989</v>
      </c>
      <c r="G160" s="114">
        <f t="shared" si="13"/>
        <v>167318.80553343182</v>
      </c>
      <c r="H160" s="115">
        <f t="shared" si="10"/>
        <v>10935824.854795137</v>
      </c>
      <c r="J160" s="112"/>
      <c r="K160" s="133"/>
      <c r="L160" s="134"/>
      <c r="M160" s="135"/>
      <c r="N160" s="136"/>
      <c r="O160" s="114"/>
      <c r="P160" s="114"/>
      <c r="Q160" s="114"/>
      <c r="R160" s="115"/>
    </row>
    <row r="161" spans="3:18" x14ac:dyDescent="0.2">
      <c r="C161" s="116">
        <v>148</v>
      </c>
      <c r="D161" s="113" t="str">
        <f t="shared" si="14"/>
        <v>7/2/2032</v>
      </c>
      <c r="E161" s="114">
        <f t="shared" si="11"/>
        <v>185261.90710045281</v>
      </c>
      <c r="F161" s="114">
        <f t="shared" si="12"/>
        <v>18217.182443457234</v>
      </c>
      <c r="G161" s="114">
        <f t="shared" si="13"/>
        <v>167044.72465699556</v>
      </c>
      <c r="H161" s="115">
        <f t="shared" si="10"/>
        <v>10917607.672351681</v>
      </c>
      <c r="J161" s="116"/>
      <c r="K161" s="133"/>
      <c r="L161" s="134"/>
      <c r="M161" s="135"/>
      <c r="N161" s="136"/>
      <c r="O161" s="114"/>
      <c r="P161" s="114"/>
      <c r="Q161" s="114"/>
      <c r="R161" s="115"/>
    </row>
    <row r="162" spans="3:18" x14ac:dyDescent="0.2">
      <c r="C162" s="116">
        <v>149</v>
      </c>
      <c r="D162" s="113" t="str">
        <f t="shared" si="14"/>
        <v>8/2/2032</v>
      </c>
      <c r="E162" s="114">
        <f t="shared" si="11"/>
        <v>185261.90710045281</v>
      </c>
      <c r="F162" s="114">
        <f t="shared" si="12"/>
        <v>18495.449905281042</v>
      </c>
      <c r="G162" s="114">
        <f t="shared" si="13"/>
        <v>166766.45719517177</v>
      </c>
      <c r="H162" s="115">
        <f t="shared" si="10"/>
        <v>10899112.222446399</v>
      </c>
      <c r="J162" s="116"/>
      <c r="K162" s="133"/>
      <c r="L162" s="134"/>
      <c r="M162" s="135"/>
      <c r="N162" s="136"/>
      <c r="O162" s="114"/>
      <c r="P162" s="114"/>
      <c r="Q162" s="114"/>
      <c r="R162" s="115"/>
    </row>
    <row r="163" spans="3:18" x14ac:dyDescent="0.2">
      <c r="C163" s="112">
        <v>150</v>
      </c>
      <c r="D163" s="113" t="str">
        <f t="shared" si="14"/>
        <v>9/2/2032</v>
      </c>
      <c r="E163" s="114">
        <f t="shared" si="11"/>
        <v>185261.90710045281</v>
      </c>
      <c r="F163" s="114">
        <f t="shared" si="12"/>
        <v>18777.967902584209</v>
      </c>
      <c r="G163" s="114">
        <f t="shared" si="13"/>
        <v>166483.93919786857</v>
      </c>
      <c r="H163" s="115">
        <f t="shared" si="10"/>
        <v>10880334.254543815</v>
      </c>
      <c r="J163" s="112"/>
      <c r="K163" s="133"/>
      <c r="L163" s="134"/>
      <c r="M163" s="135"/>
      <c r="N163" s="136"/>
      <c r="O163" s="114"/>
      <c r="P163" s="114"/>
      <c r="Q163" s="114"/>
      <c r="R163" s="115"/>
    </row>
    <row r="164" spans="3:18" x14ac:dyDescent="0.2">
      <c r="C164" s="116">
        <v>151</v>
      </c>
      <c r="D164" s="113" t="str">
        <f t="shared" si="14"/>
        <v>10/2/2032</v>
      </c>
      <c r="E164" s="114">
        <f t="shared" si="11"/>
        <v>185261.90710045281</v>
      </c>
      <c r="F164" s="114">
        <f t="shared" si="12"/>
        <v>19064.801362296181</v>
      </c>
      <c r="G164" s="114">
        <f t="shared" si="13"/>
        <v>166197.10573815662</v>
      </c>
      <c r="H164" s="115">
        <f t="shared" si="10"/>
        <v>10861269.453181518</v>
      </c>
      <c r="J164" s="116"/>
      <c r="K164" s="133"/>
      <c r="L164" s="134"/>
      <c r="M164" s="135"/>
      <c r="N164" s="136"/>
      <c r="O164" s="114"/>
      <c r="P164" s="114"/>
      <c r="Q164" s="114"/>
      <c r="R164" s="115"/>
    </row>
    <row r="165" spans="3:18" x14ac:dyDescent="0.2">
      <c r="C165" s="116">
        <v>152</v>
      </c>
      <c r="D165" s="113" t="str">
        <f t="shared" si="14"/>
        <v>11/2/2032</v>
      </c>
      <c r="E165" s="114">
        <f t="shared" si="11"/>
        <v>185261.90710045281</v>
      </c>
      <c r="F165" s="114">
        <f t="shared" si="12"/>
        <v>19356.016203105264</v>
      </c>
      <c r="G165" s="114">
        <f t="shared" si="13"/>
        <v>165905.89089734753</v>
      </c>
      <c r="H165" s="115">
        <f t="shared" si="10"/>
        <v>10841913.436978413</v>
      </c>
      <c r="J165" s="116"/>
      <c r="K165" s="133"/>
      <c r="L165" s="134"/>
      <c r="M165" s="135"/>
      <c r="N165" s="136"/>
      <c r="O165" s="114"/>
      <c r="P165" s="114"/>
      <c r="Q165" s="114"/>
      <c r="R165" s="115"/>
    </row>
    <row r="166" spans="3:18" x14ac:dyDescent="0.2">
      <c r="C166" s="112">
        <v>153</v>
      </c>
      <c r="D166" s="113" t="str">
        <f t="shared" si="14"/>
        <v>12/2/2032</v>
      </c>
      <c r="E166" s="114">
        <f t="shared" si="11"/>
        <v>185261.90710045281</v>
      </c>
      <c r="F166" s="114">
        <f t="shared" si="12"/>
        <v>19651.679350607694</v>
      </c>
      <c r="G166" s="114">
        <f t="shared" si="13"/>
        <v>165610.2277498451</v>
      </c>
      <c r="H166" s="115">
        <f t="shared" si="10"/>
        <v>10822261.757627806</v>
      </c>
      <c r="J166" s="112"/>
      <c r="K166" s="133"/>
      <c r="L166" s="134"/>
      <c r="M166" s="135"/>
      <c r="N166" s="136"/>
      <c r="O166" s="114"/>
      <c r="P166" s="114"/>
      <c r="Q166" s="114"/>
      <c r="R166" s="115"/>
    </row>
    <row r="167" spans="3:18" x14ac:dyDescent="0.2">
      <c r="C167" s="116">
        <v>154</v>
      </c>
      <c r="D167" s="113" t="str">
        <f t="shared" si="14"/>
        <v>1/2/2033</v>
      </c>
      <c r="E167" s="114">
        <f t="shared" si="11"/>
        <v>185261.90710045281</v>
      </c>
      <c r="F167" s="114">
        <f t="shared" si="12"/>
        <v>19951.858752688226</v>
      </c>
      <c r="G167" s="114">
        <f t="shared" si="13"/>
        <v>165310.04834776456</v>
      </c>
      <c r="H167" s="115">
        <f t="shared" si="10"/>
        <v>10802309.898875117</v>
      </c>
      <c r="J167" s="116"/>
      <c r="K167" s="133"/>
      <c r="L167" s="134"/>
      <c r="M167" s="135"/>
      <c r="N167" s="136"/>
      <c r="O167" s="114"/>
      <c r="P167" s="114"/>
      <c r="Q167" s="114"/>
      <c r="R167" s="115"/>
    </row>
    <row r="168" spans="3:18" x14ac:dyDescent="0.2">
      <c r="C168" s="116">
        <v>155</v>
      </c>
      <c r="D168" s="113" t="str">
        <f t="shared" si="14"/>
        <v>2/2/2033</v>
      </c>
      <c r="E168" s="114">
        <f t="shared" si="11"/>
        <v>185261.90710045281</v>
      </c>
      <c r="F168" s="114">
        <f t="shared" si="12"/>
        <v>20256.623395135539</v>
      </c>
      <c r="G168" s="114">
        <f t="shared" si="13"/>
        <v>165005.28370531727</v>
      </c>
      <c r="H168" s="115">
        <f t="shared" si="10"/>
        <v>10782053.275479982</v>
      </c>
      <c r="J168" s="116"/>
      <c r="K168" s="133"/>
      <c r="L168" s="134"/>
      <c r="M168" s="135"/>
      <c r="N168" s="136"/>
      <c r="O168" s="114"/>
      <c r="P168" s="114"/>
      <c r="Q168" s="114"/>
      <c r="R168" s="115"/>
    </row>
    <row r="169" spans="3:18" x14ac:dyDescent="0.2">
      <c r="C169" s="112">
        <v>156</v>
      </c>
      <c r="D169" s="113" t="str">
        <f t="shared" si="14"/>
        <v>3/2/2033</v>
      </c>
      <c r="E169" s="114">
        <f t="shared" si="11"/>
        <v>185261.90710045281</v>
      </c>
      <c r="F169" s="114">
        <f t="shared" si="12"/>
        <v>20566.043317496235</v>
      </c>
      <c r="G169" s="114">
        <f t="shared" si="13"/>
        <v>164695.86378295656</v>
      </c>
      <c r="H169" s="115">
        <f t="shared" si="10"/>
        <v>10761487.232162485</v>
      </c>
      <c r="J169" s="112"/>
      <c r="K169" s="133"/>
      <c r="L169" s="134"/>
      <c r="M169" s="135"/>
      <c r="N169" s="136"/>
      <c r="O169" s="114"/>
      <c r="P169" s="114"/>
      <c r="Q169" s="114"/>
      <c r="R169" s="115"/>
    </row>
    <row r="170" spans="3:18" x14ac:dyDescent="0.2">
      <c r="C170" s="116">
        <v>157</v>
      </c>
      <c r="D170" s="113" t="str">
        <f t="shared" si="14"/>
        <v>4/2/2033</v>
      </c>
      <c r="E170" s="114">
        <f t="shared" si="11"/>
        <v>185261.90710045281</v>
      </c>
      <c r="F170" s="114">
        <f t="shared" si="12"/>
        <v>20880.189629170985</v>
      </c>
      <c r="G170" s="114">
        <f t="shared" si="13"/>
        <v>164381.71747128182</v>
      </c>
      <c r="H170" s="115">
        <f t="shared" si="10"/>
        <v>10740607.042533314</v>
      </c>
      <c r="J170" s="116"/>
      <c r="K170" s="133"/>
      <c r="L170" s="134"/>
      <c r="M170" s="135"/>
      <c r="N170" s="136"/>
      <c r="O170" s="114"/>
      <c r="P170" s="114"/>
      <c r="Q170" s="114"/>
      <c r="R170" s="115"/>
    </row>
    <row r="171" spans="3:18" x14ac:dyDescent="0.2">
      <c r="C171" s="116">
        <v>158</v>
      </c>
      <c r="D171" s="113" t="str">
        <f t="shared" si="14"/>
        <v>5/2/2033</v>
      </c>
      <c r="E171" s="114">
        <f t="shared" si="11"/>
        <v>185261.90710045281</v>
      </c>
      <c r="F171" s="114">
        <f t="shared" si="12"/>
        <v>21199.13452575657</v>
      </c>
      <c r="G171" s="114">
        <f t="shared" si="13"/>
        <v>164062.77257469625</v>
      </c>
      <c r="H171" s="115">
        <f t="shared" si="10"/>
        <v>10719407.908007557</v>
      </c>
      <c r="J171" s="116"/>
      <c r="K171" s="133"/>
      <c r="L171" s="134"/>
      <c r="M171" s="135"/>
      <c r="N171" s="136"/>
      <c r="O171" s="114"/>
      <c r="P171" s="114"/>
      <c r="Q171" s="114"/>
      <c r="R171" s="115"/>
    </row>
    <row r="172" spans="3:18" x14ac:dyDescent="0.2">
      <c r="C172" s="112">
        <v>159</v>
      </c>
      <c r="D172" s="113" t="str">
        <f t="shared" si="14"/>
        <v>6/2/2033</v>
      </c>
      <c r="E172" s="114">
        <f t="shared" si="11"/>
        <v>185261.90710045281</v>
      </c>
      <c r="F172" s="114">
        <f t="shared" si="12"/>
        <v>21522.951305637504</v>
      </c>
      <c r="G172" s="114">
        <f t="shared" si="13"/>
        <v>163738.95579481529</v>
      </c>
      <c r="H172" s="115">
        <f t="shared" si="10"/>
        <v>10697884.956701919</v>
      </c>
      <c r="J172" s="112"/>
      <c r="K172" s="133"/>
      <c r="L172" s="134"/>
      <c r="M172" s="135"/>
      <c r="N172" s="136"/>
      <c r="O172" s="114"/>
      <c r="P172" s="114"/>
      <c r="Q172" s="114"/>
      <c r="R172" s="115"/>
    </row>
    <row r="173" spans="3:18" x14ac:dyDescent="0.2">
      <c r="C173" s="116">
        <v>160</v>
      </c>
      <c r="D173" s="113" t="str">
        <f t="shared" si="14"/>
        <v>7/2/2033</v>
      </c>
      <c r="E173" s="114">
        <f t="shared" si="11"/>
        <v>185261.90710045281</v>
      </c>
      <c r="F173" s="114">
        <f t="shared" si="12"/>
        <v>21851.714386831114</v>
      </c>
      <c r="G173" s="114">
        <f t="shared" si="13"/>
        <v>163410.19271362168</v>
      </c>
      <c r="H173" s="115">
        <f t="shared" si="10"/>
        <v>10676033.242315087</v>
      </c>
      <c r="J173" s="116"/>
      <c r="K173" s="133"/>
      <c r="L173" s="134"/>
      <c r="M173" s="135"/>
      <c r="N173" s="136"/>
      <c r="O173" s="114"/>
      <c r="P173" s="114"/>
      <c r="Q173" s="114"/>
      <c r="R173" s="115"/>
    </row>
    <row r="174" spans="3:18" x14ac:dyDescent="0.2">
      <c r="C174" s="116">
        <v>161</v>
      </c>
      <c r="D174" s="113" t="str">
        <f t="shared" si="14"/>
        <v>8/2/2033</v>
      </c>
      <c r="E174" s="114">
        <f t="shared" si="11"/>
        <v>185261.90710045281</v>
      </c>
      <c r="F174" s="114">
        <f t="shared" si="12"/>
        <v>22185.499324089968</v>
      </c>
      <c r="G174" s="114">
        <f t="shared" si="13"/>
        <v>163076.40777636284</v>
      </c>
      <c r="H174" s="115">
        <f t="shared" si="10"/>
        <v>10653847.742990997</v>
      </c>
      <c r="J174" s="116"/>
      <c r="K174" s="133"/>
      <c r="L174" s="134"/>
      <c r="M174" s="135"/>
      <c r="N174" s="136"/>
      <c r="O174" s="114"/>
      <c r="P174" s="114"/>
      <c r="Q174" s="114"/>
      <c r="R174" s="115"/>
    </row>
    <row r="175" spans="3:18" x14ac:dyDescent="0.2">
      <c r="C175" s="112">
        <v>162</v>
      </c>
      <c r="D175" s="113" t="str">
        <f t="shared" si="14"/>
        <v>9/2/2033</v>
      </c>
      <c r="E175" s="114">
        <f t="shared" si="11"/>
        <v>185261.90710045281</v>
      </c>
      <c r="F175" s="114">
        <f t="shared" si="12"/>
        <v>22524.382826265442</v>
      </c>
      <c r="G175" s="114">
        <f t="shared" si="13"/>
        <v>162737.52427418734</v>
      </c>
      <c r="H175" s="115">
        <f t="shared" si="10"/>
        <v>10631323.360164732</v>
      </c>
      <c r="J175" s="112"/>
      <c r="K175" s="133"/>
      <c r="L175" s="134"/>
      <c r="M175" s="135"/>
      <c r="N175" s="136"/>
      <c r="O175" s="114"/>
      <c r="P175" s="114"/>
      <c r="Q175" s="114"/>
      <c r="R175" s="115"/>
    </row>
    <row r="176" spans="3:18" x14ac:dyDescent="0.2">
      <c r="C176" s="116">
        <v>163</v>
      </c>
      <c r="D176" s="113" t="str">
        <f t="shared" si="14"/>
        <v>10/2/2033</v>
      </c>
      <c r="E176" s="114">
        <f t="shared" si="11"/>
        <v>185261.90710045281</v>
      </c>
      <c r="F176" s="114">
        <f t="shared" si="12"/>
        <v>22868.442773936644</v>
      </c>
      <c r="G176" s="114">
        <f t="shared" si="13"/>
        <v>162393.46432651614</v>
      </c>
      <c r="H176" s="115">
        <f t="shared" si="10"/>
        <v>10608454.917390795</v>
      </c>
      <c r="J176" s="116"/>
      <c r="K176" s="133"/>
      <c r="L176" s="134"/>
      <c r="M176" s="135"/>
      <c r="N176" s="136"/>
      <c r="O176" s="114"/>
      <c r="P176" s="114"/>
      <c r="Q176" s="114"/>
      <c r="R176" s="115"/>
    </row>
    <row r="177" spans="3:18" x14ac:dyDescent="0.2">
      <c r="C177" s="116">
        <v>164</v>
      </c>
      <c r="D177" s="113" t="str">
        <f t="shared" si="14"/>
        <v>11/2/2033</v>
      </c>
      <c r="E177" s="114">
        <f t="shared" si="11"/>
        <v>185261.90710045281</v>
      </c>
      <c r="F177" s="114">
        <f t="shared" si="12"/>
        <v>23217.758237308524</v>
      </c>
      <c r="G177" s="114">
        <f t="shared" si="13"/>
        <v>162044.14886314428</v>
      </c>
      <c r="H177" s="115">
        <f t="shared" si="10"/>
        <v>10585237.159153488</v>
      </c>
      <c r="J177" s="116"/>
      <c r="K177" s="133"/>
      <c r="L177" s="134"/>
      <c r="M177" s="135"/>
      <c r="N177" s="136"/>
      <c r="O177" s="114"/>
      <c r="P177" s="114"/>
      <c r="Q177" s="114"/>
      <c r="R177" s="115"/>
    </row>
    <row r="178" spans="3:18" x14ac:dyDescent="0.2">
      <c r="C178" s="112">
        <v>165</v>
      </c>
      <c r="D178" s="113" t="str">
        <f t="shared" si="14"/>
        <v>12/2/2033</v>
      </c>
      <c r="E178" s="114">
        <f t="shared" si="11"/>
        <v>185261.90710045281</v>
      </c>
      <c r="F178" s="114">
        <f t="shared" si="12"/>
        <v>23572.409494383413</v>
      </c>
      <c r="G178" s="114">
        <f t="shared" si="13"/>
        <v>161689.4976060694</v>
      </c>
      <c r="H178" s="115">
        <f t="shared" si="10"/>
        <v>10561664.749659104</v>
      </c>
      <c r="J178" s="112"/>
      <c r="K178" s="133"/>
      <c r="L178" s="134"/>
      <c r="M178" s="135"/>
      <c r="N178" s="136"/>
      <c r="O178" s="114"/>
      <c r="P178" s="114"/>
      <c r="Q178" s="114"/>
      <c r="R178" s="115"/>
    </row>
    <row r="179" spans="3:18" x14ac:dyDescent="0.2">
      <c r="C179" s="116">
        <v>166</v>
      </c>
      <c r="D179" s="113" t="str">
        <f t="shared" si="14"/>
        <v>1/2/2034</v>
      </c>
      <c r="E179" s="114">
        <f t="shared" si="11"/>
        <v>185261.90710045281</v>
      </c>
      <c r="F179" s="114">
        <f t="shared" si="12"/>
        <v>23932.478049410118</v>
      </c>
      <c r="G179" s="114">
        <f t="shared" si="13"/>
        <v>161329.42905104268</v>
      </c>
      <c r="H179" s="115">
        <f t="shared" si="10"/>
        <v>10537732.271609694</v>
      </c>
      <c r="J179" s="116"/>
      <c r="K179" s="133"/>
      <c r="L179" s="134"/>
      <c r="M179" s="135"/>
      <c r="N179" s="136"/>
      <c r="O179" s="114"/>
      <c r="P179" s="114"/>
      <c r="Q179" s="114"/>
      <c r="R179" s="115"/>
    </row>
    <row r="180" spans="3:18" x14ac:dyDescent="0.2">
      <c r="C180" s="116">
        <v>167</v>
      </c>
      <c r="D180" s="113" t="str">
        <f t="shared" si="14"/>
        <v>2/2/2034</v>
      </c>
      <c r="E180" s="114">
        <f t="shared" si="11"/>
        <v>185261.90710045281</v>
      </c>
      <c r="F180" s="114">
        <f t="shared" si="12"/>
        <v>24298.046651614855</v>
      </c>
      <c r="G180" s="114">
        <f t="shared" si="13"/>
        <v>160963.86044883795</v>
      </c>
      <c r="H180" s="115">
        <f t="shared" si="10"/>
        <v>10513434.224958079</v>
      </c>
      <c r="J180" s="116"/>
      <c r="K180" s="133"/>
      <c r="L180" s="134"/>
      <c r="M180" s="135"/>
      <c r="N180" s="136"/>
      <c r="O180" s="114"/>
      <c r="P180" s="114"/>
      <c r="Q180" s="114"/>
      <c r="R180" s="115"/>
    </row>
    <row r="181" spans="3:18" x14ac:dyDescent="0.2">
      <c r="C181" s="112">
        <v>168</v>
      </c>
      <c r="D181" s="113" t="str">
        <f t="shared" si="14"/>
        <v>3/2/2034</v>
      </c>
      <c r="E181" s="114">
        <f t="shared" si="11"/>
        <v>185261.90710045281</v>
      </c>
      <c r="F181" s="114">
        <f t="shared" si="12"/>
        <v>24669.199314218269</v>
      </c>
      <c r="G181" s="114">
        <f t="shared" si="13"/>
        <v>160592.70778623453</v>
      </c>
      <c r="H181" s="115">
        <f t="shared" si="10"/>
        <v>10488765.025643861</v>
      </c>
      <c r="J181" s="112"/>
      <c r="K181" s="133"/>
      <c r="L181" s="134"/>
      <c r="M181" s="135"/>
      <c r="N181" s="136"/>
      <c r="O181" s="114"/>
      <c r="P181" s="114"/>
      <c r="Q181" s="114"/>
      <c r="R181" s="115"/>
    </row>
    <row r="182" spans="3:18" x14ac:dyDescent="0.2">
      <c r="C182" s="116">
        <v>169</v>
      </c>
      <c r="D182" s="113" t="str">
        <f t="shared" si="14"/>
        <v>4/2/2034</v>
      </c>
      <c r="E182" s="114">
        <f t="shared" si="11"/>
        <v>185261.90710045281</v>
      </c>
      <c r="F182" s="114">
        <f t="shared" si="12"/>
        <v>25046.021333742963</v>
      </c>
      <c r="G182" s="114">
        <f t="shared" si="13"/>
        <v>160215.88576670983</v>
      </c>
      <c r="H182" s="115">
        <f t="shared" si="10"/>
        <v>10463719.004310118</v>
      </c>
      <c r="J182" s="116"/>
      <c r="K182" s="133"/>
      <c r="L182" s="134"/>
      <c r="M182" s="135"/>
      <c r="N182" s="136"/>
      <c r="O182" s="114"/>
      <c r="P182" s="114"/>
      <c r="Q182" s="114"/>
      <c r="R182" s="115"/>
    </row>
    <row r="183" spans="3:18" x14ac:dyDescent="0.2">
      <c r="C183" s="116">
        <v>170</v>
      </c>
      <c r="D183" s="113" t="str">
        <f t="shared" si="14"/>
        <v>5/2/2034</v>
      </c>
      <c r="E183" s="114">
        <f t="shared" si="11"/>
        <v>185261.90710045281</v>
      </c>
      <c r="F183" s="114">
        <f t="shared" si="12"/>
        <v>25428.599309615882</v>
      </c>
      <c r="G183" s="114">
        <f t="shared" si="13"/>
        <v>159833.3077908369</v>
      </c>
      <c r="H183" s="115">
        <f t="shared" si="10"/>
        <v>10438290.405000502</v>
      </c>
      <c r="J183" s="116"/>
      <c r="K183" s="133"/>
      <c r="L183" s="134"/>
      <c r="M183" s="135"/>
      <c r="N183" s="136"/>
      <c r="O183" s="114"/>
      <c r="P183" s="114"/>
      <c r="Q183" s="114"/>
      <c r="R183" s="115"/>
    </row>
    <row r="184" spans="3:18" x14ac:dyDescent="0.2">
      <c r="C184" s="112">
        <v>171</v>
      </c>
      <c r="D184" s="113" t="str">
        <f t="shared" si="14"/>
        <v>6/2/2034</v>
      </c>
      <c r="E184" s="114">
        <f t="shared" si="11"/>
        <v>185261.90710045281</v>
      </c>
      <c r="F184" s="114">
        <f t="shared" si="12"/>
        <v>25817.021164070266</v>
      </c>
      <c r="G184" s="114">
        <f t="shared" si="13"/>
        <v>159444.88593638255</v>
      </c>
      <c r="H184" s="115">
        <f t="shared" si="10"/>
        <v>10412473.383836431</v>
      </c>
      <c r="J184" s="112"/>
      <c r="K184" s="133"/>
      <c r="L184" s="134"/>
      <c r="M184" s="135"/>
      <c r="N184" s="136"/>
      <c r="O184" s="114"/>
      <c r="P184" s="114"/>
      <c r="Q184" s="114"/>
      <c r="R184" s="115"/>
    </row>
    <row r="185" spans="3:18" x14ac:dyDescent="0.2">
      <c r="C185" s="116">
        <v>172</v>
      </c>
      <c r="D185" s="113" t="str">
        <f t="shared" si="14"/>
        <v>7/2/2034</v>
      </c>
      <c r="E185" s="114">
        <f t="shared" si="11"/>
        <v>185261.90710045281</v>
      </c>
      <c r="F185" s="114">
        <f t="shared" si="12"/>
        <v>26211.37616235144</v>
      </c>
      <c r="G185" s="114">
        <f t="shared" si="13"/>
        <v>159050.53093810135</v>
      </c>
      <c r="H185" s="115">
        <f t="shared" si="10"/>
        <v>10386262.007674079</v>
      </c>
      <c r="J185" s="116"/>
      <c r="K185" s="133"/>
      <c r="L185" s="134"/>
      <c r="M185" s="135"/>
      <c r="N185" s="136"/>
      <c r="O185" s="114"/>
      <c r="P185" s="114"/>
      <c r="Q185" s="114"/>
      <c r="R185" s="115"/>
    </row>
    <row r="186" spans="3:18" x14ac:dyDescent="0.2">
      <c r="C186" s="116">
        <v>173</v>
      </c>
      <c r="D186" s="113" t="str">
        <f t="shared" si="14"/>
        <v>8/2/2034</v>
      </c>
      <c r="E186" s="114">
        <f t="shared" si="11"/>
        <v>185261.90710045281</v>
      </c>
      <c r="F186" s="114">
        <f t="shared" si="12"/>
        <v>26611.754933231357</v>
      </c>
      <c r="G186" s="114">
        <f t="shared" si="13"/>
        <v>158650.15216722144</v>
      </c>
      <c r="H186" s="115">
        <f t="shared" si="10"/>
        <v>10359650.252740849</v>
      </c>
      <c r="J186" s="116"/>
      <c r="K186" s="133"/>
      <c r="L186" s="134"/>
      <c r="M186" s="135"/>
      <c r="N186" s="136"/>
      <c r="O186" s="114"/>
      <c r="P186" s="114"/>
      <c r="Q186" s="114"/>
      <c r="R186" s="115"/>
    </row>
    <row r="187" spans="3:18" x14ac:dyDescent="0.2">
      <c r="C187" s="112">
        <v>174</v>
      </c>
      <c r="D187" s="113" t="str">
        <f t="shared" si="14"/>
        <v>9/2/2034</v>
      </c>
      <c r="E187" s="114">
        <f t="shared" si="11"/>
        <v>185261.90710045281</v>
      </c>
      <c r="F187" s="114">
        <f t="shared" si="12"/>
        <v>27018.249489836464</v>
      </c>
      <c r="G187" s="114">
        <f t="shared" si="13"/>
        <v>158243.65761061633</v>
      </c>
      <c r="H187" s="115">
        <f t="shared" si="10"/>
        <v>10332632.003251012</v>
      </c>
      <c r="J187" s="112"/>
      <c r="K187" s="133"/>
      <c r="L187" s="134"/>
      <c r="M187" s="135"/>
      <c r="N187" s="136"/>
      <c r="O187" s="114"/>
      <c r="P187" s="114"/>
      <c r="Q187" s="114"/>
      <c r="R187" s="115"/>
    </row>
    <row r="188" spans="3:18" x14ac:dyDescent="0.2">
      <c r="C188" s="116">
        <v>175</v>
      </c>
      <c r="D188" s="113" t="str">
        <f t="shared" si="14"/>
        <v>10/2/2034</v>
      </c>
      <c r="E188" s="114">
        <f t="shared" si="11"/>
        <v>185261.90710045281</v>
      </c>
      <c r="F188" s="114">
        <f t="shared" si="12"/>
        <v>27430.953250793718</v>
      </c>
      <c r="G188" s="114">
        <f t="shared" si="13"/>
        <v>157830.9538496591</v>
      </c>
      <c r="H188" s="115">
        <f t="shared" si="10"/>
        <v>10305201.050000219</v>
      </c>
      <c r="J188" s="116"/>
      <c r="K188" s="133"/>
      <c r="L188" s="134"/>
      <c r="M188" s="135"/>
      <c r="N188" s="136"/>
      <c r="O188" s="114"/>
      <c r="P188" s="114"/>
      <c r="Q188" s="114"/>
      <c r="R188" s="115"/>
    </row>
    <row r="189" spans="3:18" x14ac:dyDescent="0.2">
      <c r="C189" s="116">
        <v>176</v>
      </c>
      <c r="D189" s="113" t="str">
        <f t="shared" si="14"/>
        <v>11/2/2034</v>
      </c>
      <c r="E189" s="114">
        <f t="shared" si="11"/>
        <v>185261.90710045281</v>
      </c>
      <c r="F189" s="114">
        <f t="shared" si="12"/>
        <v>27849.961061699592</v>
      </c>
      <c r="G189" s="114">
        <f t="shared" si="13"/>
        <v>157411.9460387532</v>
      </c>
      <c r="H189" s="115">
        <f t="shared" si="10"/>
        <v>10277351.088938519</v>
      </c>
      <c r="J189" s="116"/>
      <c r="K189" s="133"/>
      <c r="L189" s="134"/>
      <c r="M189" s="135"/>
      <c r="N189" s="136"/>
      <c r="O189" s="114"/>
      <c r="P189" s="114"/>
      <c r="Q189" s="114"/>
      <c r="R189" s="115"/>
    </row>
    <row r="190" spans="3:18" x14ac:dyDescent="0.2">
      <c r="C190" s="112">
        <v>177</v>
      </c>
      <c r="D190" s="113" t="str">
        <f t="shared" si="14"/>
        <v>12/2/2034</v>
      </c>
      <c r="E190" s="114">
        <f t="shared" si="11"/>
        <v>185261.90710045281</v>
      </c>
      <c r="F190" s="114">
        <f t="shared" si="12"/>
        <v>28275.369216917057</v>
      </c>
      <c r="G190" s="114">
        <f t="shared" si="13"/>
        <v>156986.53788353573</v>
      </c>
      <c r="H190" s="115">
        <f t="shared" si="10"/>
        <v>10249075.719721602</v>
      </c>
      <c r="J190" s="112"/>
      <c r="K190" s="133"/>
      <c r="L190" s="134"/>
      <c r="M190" s="135"/>
      <c r="N190" s="136"/>
      <c r="O190" s="114"/>
      <c r="P190" s="114"/>
      <c r="Q190" s="114"/>
      <c r="R190" s="115"/>
    </row>
    <row r="191" spans="3:18" x14ac:dyDescent="0.2">
      <c r="C191" s="116">
        <v>178</v>
      </c>
      <c r="D191" s="113" t="str">
        <f t="shared" si="14"/>
        <v>1/2/2035</v>
      </c>
      <c r="E191" s="114">
        <f t="shared" si="11"/>
        <v>185261.90710045281</v>
      </c>
      <c r="F191" s="114">
        <f t="shared" si="12"/>
        <v>28707.275481705456</v>
      </c>
      <c r="G191" s="114">
        <f t="shared" si="13"/>
        <v>156554.63161874734</v>
      </c>
      <c r="H191" s="115">
        <f t="shared" si="10"/>
        <v>10220368.444239898</v>
      </c>
      <c r="J191" s="116"/>
      <c r="K191" s="133"/>
      <c r="L191" s="134"/>
      <c r="M191" s="135"/>
      <c r="N191" s="136"/>
      <c r="O191" s="114"/>
      <c r="P191" s="114"/>
      <c r="Q191" s="114"/>
      <c r="R191" s="115"/>
    </row>
    <row r="192" spans="3:18" x14ac:dyDescent="0.2">
      <c r="C192" s="116">
        <v>179</v>
      </c>
      <c r="D192" s="113" t="str">
        <f t="shared" si="14"/>
        <v>2/2/2035</v>
      </c>
      <c r="E192" s="114">
        <f t="shared" si="11"/>
        <v>185261.90710045281</v>
      </c>
      <c r="F192" s="114">
        <f t="shared" si="12"/>
        <v>29145.77911468851</v>
      </c>
      <c r="G192" s="114">
        <f t="shared" si="13"/>
        <v>156116.12798576429</v>
      </c>
      <c r="H192" s="115">
        <f t="shared" si="10"/>
        <v>10191222.66512521</v>
      </c>
      <c r="J192" s="116"/>
      <c r="K192" s="133"/>
      <c r="L192" s="134"/>
      <c r="M192" s="135"/>
      <c r="N192" s="136"/>
      <c r="O192" s="114"/>
      <c r="P192" s="114"/>
      <c r="Q192" s="114"/>
      <c r="R192" s="115"/>
    </row>
    <row r="193" spans="3:18" x14ac:dyDescent="0.2">
      <c r="C193" s="112">
        <v>180</v>
      </c>
      <c r="D193" s="113" t="str">
        <f t="shared" si="14"/>
        <v>3/2/2035</v>
      </c>
      <c r="E193" s="114">
        <f t="shared" si="11"/>
        <v>185261.90710045281</v>
      </c>
      <c r="F193" s="114">
        <f t="shared" si="12"/>
        <v>29590.980890665378</v>
      </c>
      <c r="G193" s="114">
        <f t="shared" si="13"/>
        <v>155670.92620978743</v>
      </c>
      <c r="H193" s="115">
        <f t="shared" si="10"/>
        <v>10161631.684234545</v>
      </c>
      <c r="J193" s="112"/>
      <c r="K193" s="133"/>
      <c r="L193" s="134"/>
      <c r="M193" s="135"/>
      <c r="N193" s="136"/>
      <c r="O193" s="114"/>
      <c r="P193" s="114"/>
      <c r="Q193" s="114"/>
      <c r="R193" s="115"/>
    </row>
    <row r="194" spans="3:18" x14ac:dyDescent="0.2">
      <c r="C194" s="116">
        <v>181</v>
      </c>
      <c r="D194" s="113" t="str">
        <f t="shared" si="14"/>
        <v>4/2/2035</v>
      </c>
      <c r="E194" s="114">
        <f t="shared" si="11"/>
        <v>185261.90710045281</v>
      </c>
      <c r="F194" s="114">
        <f t="shared" si="12"/>
        <v>30042.983123770293</v>
      </c>
      <c r="G194" s="114">
        <f t="shared" si="13"/>
        <v>155218.9239766825</v>
      </c>
      <c r="H194" s="115">
        <f t="shared" si="10"/>
        <v>10131588.701110775</v>
      </c>
      <c r="J194" s="116"/>
      <c r="K194" s="133"/>
      <c r="L194" s="134"/>
      <c r="M194" s="135"/>
      <c r="N194" s="136"/>
      <c r="O194" s="114"/>
      <c r="P194" s="114"/>
      <c r="Q194" s="114"/>
      <c r="R194" s="115"/>
    </row>
    <row r="195" spans="3:18" x14ac:dyDescent="0.2">
      <c r="C195" s="116">
        <v>182</v>
      </c>
      <c r="D195" s="113" t="str">
        <f t="shared" si="14"/>
        <v>5/2/2035</v>
      </c>
      <c r="E195" s="114">
        <f t="shared" si="11"/>
        <v>185261.90710045281</v>
      </c>
      <c r="F195" s="114">
        <f t="shared" si="12"/>
        <v>30501.889690985885</v>
      </c>
      <c r="G195" s="114">
        <f t="shared" si="13"/>
        <v>154760.01740946693</v>
      </c>
      <c r="H195" s="115">
        <f t="shared" si="10"/>
        <v>10101086.811419789</v>
      </c>
      <c r="J195" s="116"/>
      <c r="K195" s="133"/>
      <c r="L195" s="134"/>
      <c r="M195" s="135"/>
      <c r="N195" s="136"/>
      <c r="O195" s="114"/>
      <c r="P195" s="114"/>
      <c r="Q195" s="114"/>
      <c r="R195" s="115"/>
    </row>
    <row r="196" spans="3:18" x14ac:dyDescent="0.2">
      <c r="C196" s="112">
        <v>183</v>
      </c>
      <c r="D196" s="113" t="str">
        <f t="shared" si="14"/>
        <v>6/2/2035</v>
      </c>
      <c r="E196" s="114">
        <f t="shared" si="11"/>
        <v>185261.90710045281</v>
      </c>
      <c r="F196" s="114">
        <f t="shared" si="12"/>
        <v>30967.806056015696</v>
      </c>
      <c r="G196" s="114">
        <f t="shared" si="13"/>
        <v>154294.10104443712</v>
      </c>
      <c r="H196" s="115">
        <f t="shared" si="10"/>
        <v>10070119.005363774</v>
      </c>
      <c r="J196" s="112"/>
      <c r="K196" s="133"/>
      <c r="L196" s="134"/>
      <c r="M196" s="135"/>
      <c r="N196" s="136"/>
      <c r="O196" s="114"/>
      <c r="P196" s="114"/>
      <c r="Q196" s="114"/>
      <c r="R196" s="115"/>
    </row>
    <row r="197" spans="3:18" x14ac:dyDescent="0.2">
      <c r="C197" s="116">
        <v>184</v>
      </c>
      <c r="D197" s="113" t="str">
        <f t="shared" si="14"/>
        <v>7/2/2035</v>
      </c>
      <c r="E197" s="114">
        <f t="shared" si="11"/>
        <v>185261.90710045281</v>
      </c>
      <c r="F197" s="114">
        <f t="shared" si="12"/>
        <v>31440.839293521341</v>
      </c>
      <c r="G197" s="114">
        <f t="shared" si="13"/>
        <v>153821.06780693145</v>
      </c>
      <c r="H197" s="115">
        <f t="shared" si="10"/>
        <v>10038678.166070253</v>
      </c>
      <c r="J197" s="116"/>
      <c r="K197" s="133"/>
      <c r="L197" s="134"/>
      <c r="M197" s="135"/>
      <c r="N197" s="136"/>
      <c r="O197" s="114"/>
      <c r="P197" s="114"/>
      <c r="Q197" s="114"/>
      <c r="R197" s="115"/>
    </row>
    <row r="198" spans="3:18" x14ac:dyDescent="0.2">
      <c r="C198" s="116">
        <v>185</v>
      </c>
      <c r="D198" s="113" t="str">
        <f t="shared" si="14"/>
        <v>8/2/2035</v>
      </c>
      <c r="E198" s="114">
        <f t="shared" si="11"/>
        <v>185261.90710045281</v>
      </c>
      <c r="F198" s="114">
        <f t="shared" si="12"/>
        <v>31921.098113729873</v>
      </c>
      <c r="G198" s="114">
        <f t="shared" si="13"/>
        <v>153340.80898672293</v>
      </c>
      <c r="H198" s="115">
        <f t="shared" si="10"/>
        <v>10006757.067956522</v>
      </c>
      <c r="J198" s="116"/>
      <c r="K198" s="133"/>
      <c r="L198" s="134"/>
      <c r="M198" s="135"/>
      <c r="N198" s="136"/>
      <c r="O198" s="114"/>
      <c r="P198" s="114"/>
      <c r="Q198" s="114"/>
      <c r="R198" s="115"/>
    </row>
    <row r="199" spans="3:18" x14ac:dyDescent="0.2">
      <c r="C199" s="112">
        <v>186</v>
      </c>
      <c r="D199" s="113" t="str">
        <f t="shared" si="14"/>
        <v>9/2/2035</v>
      </c>
      <c r="E199" s="114">
        <f t="shared" si="11"/>
        <v>185261.90710045281</v>
      </c>
      <c r="F199" s="114">
        <f t="shared" si="12"/>
        <v>32408.692887417095</v>
      </c>
      <c r="G199" s="114">
        <f t="shared" si="13"/>
        <v>152853.21421303568</v>
      </c>
      <c r="H199" s="115">
        <f t="shared" si="10"/>
        <v>9974348.3750691041</v>
      </c>
      <c r="J199" s="112"/>
      <c r="K199" s="133"/>
      <c r="L199" s="134"/>
      <c r="M199" s="135"/>
      <c r="N199" s="136"/>
      <c r="O199" s="114"/>
      <c r="P199" s="114"/>
      <c r="Q199" s="114"/>
      <c r="R199" s="115"/>
    </row>
    <row r="200" spans="3:18" x14ac:dyDescent="0.2">
      <c r="C200" s="116">
        <v>187</v>
      </c>
      <c r="D200" s="113" t="str">
        <f t="shared" si="14"/>
        <v>10/2/2035</v>
      </c>
      <c r="E200" s="114">
        <f t="shared" si="11"/>
        <v>185261.90710045281</v>
      </c>
      <c r="F200" s="114">
        <f t="shared" si="12"/>
        <v>32903.735671272392</v>
      </c>
      <c r="G200" s="114">
        <f t="shared" si="13"/>
        <v>152358.17142918042</v>
      </c>
      <c r="H200" s="115">
        <f t="shared" si="10"/>
        <v>9941444.6393978316</v>
      </c>
      <c r="J200" s="116"/>
      <c r="K200" s="133"/>
      <c r="L200" s="134"/>
      <c r="M200" s="135"/>
      <c r="N200" s="136"/>
      <c r="O200" s="114"/>
      <c r="P200" s="114"/>
      <c r="Q200" s="114"/>
      <c r="R200" s="115"/>
    </row>
    <row r="201" spans="3:18" x14ac:dyDescent="0.2">
      <c r="C201" s="116">
        <v>188</v>
      </c>
      <c r="D201" s="113" t="str">
        <f t="shared" si="14"/>
        <v>11/2/2035</v>
      </c>
      <c r="E201" s="114">
        <f t="shared" si="11"/>
        <v>185261.90710045281</v>
      </c>
      <c r="F201" s="114">
        <f t="shared" si="12"/>
        <v>33406.340233651084</v>
      </c>
      <c r="G201" s="114">
        <f t="shared" si="13"/>
        <v>151855.56686680173</v>
      </c>
      <c r="H201" s="115">
        <f t="shared" si="10"/>
        <v>9908038.2991641797</v>
      </c>
      <c r="J201" s="116"/>
      <c r="K201" s="133"/>
      <c r="L201" s="134"/>
      <c r="M201" s="135"/>
      <c r="N201" s="136"/>
      <c r="O201" s="114"/>
      <c r="P201" s="114"/>
      <c r="Q201" s="114"/>
      <c r="R201" s="115"/>
    </row>
    <row r="202" spans="3:18" x14ac:dyDescent="0.2">
      <c r="C202" s="112">
        <v>189</v>
      </c>
      <c r="D202" s="113" t="str">
        <f t="shared" si="14"/>
        <v>12/2/2035</v>
      </c>
      <c r="E202" s="114">
        <f t="shared" si="11"/>
        <v>185261.90710045281</v>
      </c>
      <c r="F202" s="114">
        <f t="shared" si="12"/>
        <v>33916.622080720103</v>
      </c>
      <c r="G202" s="114">
        <f t="shared" si="13"/>
        <v>151345.28501973269</v>
      </c>
      <c r="H202" s="115">
        <f t="shared" si="10"/>
        <v>9874121.6770834588</v>
      </c>
      <c r="J202" s="112"/>
      <c r="K202" s="133"/>
      <c r="L202" s="134"/>
      <c r="M202" s="135"/>
      <c r="N202" s="136"/>
      <c r="O202" s="114"/>
      <c r="P202" s="114"/>
      <c r="Q202" s="114"/>
      <c r="R202" s="115"/>
    </row>
    <row r="203" spans="3:18" x14ac:dyDescent="0.2">
      <c r="C203" s="116">
        <v>190</v>
      </c>
      <c r="D203" s="113" t="str">
        <f t="shared" si="14"/>
        <v>1/2/2036</v>
      </c>
      <c r="E203" s="114">
        <f t="shared" si="11"/>
        <v>185261.90710045281</v>
      </c>
      <c r="F203" s="114">
        <f t="shared" si="12"/>
        <v>34434.698483003092</v>
      </c>
      <c r="G203" s="114">
        <f t="shared" si="13"/>
        <v>150827.20861744971</v>
      </c>
      <c r="H203" s="115">
        <f t="shared" si="10"/>
        <v>9839686.9786004554</v>
      </c>
      <c r="J203" s="116"/>
      <c r="K203" s="133"/>
      <c r="L203" s="134"/>
      <c r="M203" s="135"/>
      <c r="N203" s="136"/>
      <c r="O203" s="114"/>
      <c r="P203" s="114"/>
      <c r="Q203" s="114"/>
      <c r="R203" s="115"/>
    </row>
    <row r="204" spans="3:18" x14ac:dyDescent="0.2">
      <c r="C204" s="116">
        <v>191</v>
      </c>
      <c r="D204" s="113" t="str">
        <f t="shared" si="14"/>
        <v>2/2/2036</v>
      </c>
      <c r="E204" s="114">
        <f t="shared" si="11"/>
        <v>185261.90710045281</v>
      </c>
      <c r="F204" s="114">
        <f t="shared" si="12"/>
        <v>34960.688502330973</v>
      </c>
      <c r="G204" s="114">
        <f t="shared" si="13"/>
        <v>150301.21859812184</v>
      </c>
      <c r="H204" s="115">
        <f t="shared" si="10"/>
        <v>9804726.2900981251</v>
      </c>
      <c r="J204" s="116"/>
      <c r="K204" s="133"/>
      <c r="L204" s="134"/>
      <c r="M204" s="135"/>
      <c r="N204" s="136"/>
      <c r="O204" s="114"/>
      <c r="P204" s="114"/>
      <c r="Q204" s="114"/>
      <c r="R204" s="115"/>
    </row>
    <row r="205" spans="3:18" x14ac:dyDescent="0.2">
      <c r="C205" s="112">
        <v>192</v>
      </c>
      <c r="D205" s="113" t="str">
        <f t="shared" si="14"/>
        <v>3/2/2036</v>
      </c>
      <c r="E205" s="114">
        <f t="shared" si="11"/>
        <v>185261.90710045281</v>
      </c>
      <c r="F205" s="114">
        <f t="shared" si="12"/>
        <v>35494.713019204071</v>
      </c>
      <c r="G205" s="114">
        <f t="shared" si="13"/>
        <v>149767.19408124874</v>
      </c>
      <c r="H205" s="115">
        <f t="shared" si="10"/>
        <v>9769231.5770789217</v>
      </c>
      <c r="J205" s="112"/>
      <c r="K205" s="133"/>
      <c r="L205" s="134"/>
      <c r="M205" s="135"/>
      <c r="N205" s="136"/>
      <c r="O205" s="114"/>
      <c r="P205" s="114"/>
      <c r="Q205" s="114"/>
      <c r="R205" s="115"/>
    </row>
    <row r="206" spans="3:18" x14ac:dyDescent="0.2">
      <c r="C206" s="116">
        <v>193</v>
      </c>
      <c r="D206" s="113" t="str">
        <f t="shared" si="14"/>
        <v>4/2/2036</v>
      </c>
      <c r="E206" s="114">
        <f t="shared" si="11"/>
        <v>185261.90710045281</v>
      </c>
      <c r="F206" s="114">
        <f t="shared" si="12"/>
        <v>36036.894760572417</v>
      </c>
      <c r="G206" s="114">
        <f t="shared" si="13"/>
        <v>149225.01233988037</v>
      </c>
      <c r="H206" s="115">
        <f t="shared" si="10"/>
        <v>9733194.6823183484</v>
      </c>
      <c r="J206" s="116"/>
      <c r="K206" s="133"/>
      <c r="L206" s="134"/>
      <c r="M206" s="135"/>
      <c r="N206" s="136"/>
      <c r="O206" s="114"/>
      <c r="P206" s="114"/>
      <c r="Q206" s="114"/>
      <c r="R206" s="115"/>
    </row>
    <row r="207" spans="3:18" x14ac:dyDescent="0.2">
      <c r="C207" s="116">
        <v>194</v>
      </c>
      <c r="D207" s="113" t="str">
        <f t="shared" si="14"/>
        <v>5/2/2036</v>
      </c>
      <c r="E207" s="114">
        <f t="shared" si="11"/>
        <v>185261.90710045281</v>
      </c>
      <c r="F207" s="114">
        <f t="shared" si="12"/>
        <v>36587.358328040165</v>
      </c>
      <c r="G207" s="114">
        <f t="shared" si="13"/>
        <v>148674.54877241264</v>
      </c>
      <c r="H207" s="115">
        <f t="shared" ref="H207:H253" si="15">IF($B207&lt;=$C$6,H206-F207,"")</f>
        <v>9696607.3239903077</v>
      </c>
      <c r="J207" s="116"/>
      <c r="K207" s="133"/>
      <c r="L207" s="134"/>
      <c r="M207" s="135"/>
      <c r="N207" s="136"/>
      <c r="O207" s="114"/>
      <c r="P207" s="114"/>
      <c r="Q207" s="114"/>
      <c r="R207" s="115"/>
    </row>
    <row r="208" spans="3:18" x14ac:dyDescent="0.2">
      <c r="C208" s="112">
        <v>195</v>
      </c>
      <c r="D208" s="113" t="str">
        <f t="shared" si="14"/>
        <v>6/2/2036</v>
      </c>
      <c r="E208" s="114">
        <f t="shared" ref="E208:E253" si="16">IF($C208&lt;=$D$6,PMT($D$8/12,$D$6,-$D$4),"")</f>
        <v>185261.90710045281</v>
      </c>
      <c r="F208" s="114">
        <f t="shared" ref="F208:F253" si="17">IF($C208&lt;=$D$6,PPMT($D$8/12,$C208,$D$6,-$D$4),"")</f>
        <v>37146.230226500978</v>
      </c>
      <c r="G208" s="114">
        <f t="shared" ref="G208:G253" si="18">IF($C208&lt;=$D$6,IPMT($D$8/12,$C208,$D$6,-$D$4),"")</f>
        <v>148115.67687395183</v>
      </c>
      <c r="H208" s="115">
        <f t="shared" si="15"/>
        <v>9659461.0937638059</v>
      </c>
      <c r="J208" s="112"/>
      <c r="K208" s="133"/>
      <c r="L208" s="134"/>
      <c r="M208" s="135"/>
      <c r="N208" s="136"/>
      <c r="O208" s="114"/>
      <c r="P208" s="114"/>
      <c r="Q208" s="114"/>
      <c r="R208" s="115"/>
    </row>
    <row r="209" spans="3:18" x14ac:dyDescent="0.2">
      <c r="C209" s="116">
        <v>196</v>
      </c>
      <c r="D209" s="113" t="str">
        <f t="shared" si="14"/>
        <v>7/2/2036</v>
      </c>
      <c r="E209" s="114">
        <f t="shared" si="16"/>
        <v>185261.90710045281</v>
      </c>
      <c r="F209" s="114">
        <f t="shared" si="17"/>
        <v>37713.638893210773</v>
      </c>
      <c r="G209" s="114">
        <f t="shared" si="18"/>
        <v>147548.26820724201</v>
      </c>
      <c r="H209" s="115">
        <f t="shared" si="15"/>
        <v>9621747.4548705947</v>
      </c>
      <c r="J209" s="116"/>
      <c r="K209" s="133"/>
      <c r="L209" s="134"/>
      <c r="M209" s="135"/>
      <c r="N209" s="136"/>
      <c r="O209" s="114"/>
      <c r="P209" s="114"/>
      <c r="Q209" s="114"/>
      <c r="R209" s="115"/>
    </row>
    <row r="210" spans="3:18" x14ac:dyDescent="0.2">
      <c r="C210" s="116">
        <v>197</v>
      </c>
      <c r="D210" s="113" t="str">
        <f t="shared" ref="D210:D252" si="19">CONCATENATE(IF(MONTH(D209)&lt;12,MONTH(D209)+1,MONTH(D209)-11),"/",DAY(D209),"/",IF(MONTH(D209)&lt;12,YEAR(D209),YEAR(D209)+1))</f>
        <v>8/2/2036</v>
      </c>
      <c r="E210" s="114">
        <f t="shared" si="16"/>
        <v>185261.90710045281</v>
      </c>
      <c r="F210" s="114">
        <f t="shared" si="17"/>
        <v>38289.71472730457</v>
      </c>
      <c r="G210" s="114">
        <f t="shared" si="18"/>
        <v>146972.19237314822</v>
      </c>
      <c r="H210" s="115">
        <f t="shared" si="15"/>
        <v>9583457.7401432898</v>
      </c>
      <c r="J210" s="116"/>
      <c r="K210" s="133"/>
      <c r="L210" s="134"/>
      <c r="M210" s="135"/>
      <c r="N210" s="136"/>
      <c r="O210" s="114"/>
      <c r="P210" s="114"/>
      <c r="Q210" s="114"/>
      <c r="R210" s="115"/>
    </row>
    <row r="211" spans="3:18" x14ac:dyDescent="0.2">
      <c r="C211" s="112">
        <v>198</v>
      </c>
      <c r="D211" s="113" t="str">
        <f t="shared" si="19"/>
        <v>9/2/2036</v>
      </c>
      <c r="E211" s="114">
        <f t="shared" si="16"/>
        <v>185261.90710045281</v>
      </c>
      <c r="F211" s="114">
        <f t="shared" si="17"/>
        <v>38874.590119764151</v>
      </c>
      <c r="G211" s="114">
        <f t="shared" si="18"/>
        <v>146387.31698068866</v>
      </c>
      <c r="H211" s="115">
        <f t="shared" si="15"/>
        <v>9544583.1500235256</v>
      </c>
      <c r="J211" s="112"/>
      <c r="K211" s="133"/>
      <c r="L211" s="134"/>
      <c r="M211" s="135"/>
      <c r="N211" s="136"/>
      <c r="O211" s="114"/>
      <c r="P211" s="114"/>
      <c r="Q211" s="114"/>
      <c r="R211" s="115"/>
    </row>
    <row r="212" spans="3:18" x14ac:dyDescent="0.2">
      <c r="C212" s="116">
        <v>199</v>
      </c>
      <c r="D212" s="113" t="str">
        <f t="shared" si="19"/>
        <v>10/2/2036</v>
      </c>
      <c r="E212" s="114">
        <f t="shared" si="16"/>
        <v>185261.90710045281</v>
      </c>
      <c r="F212" s="114">
        <f t="shared" si="17"/>
        <v>39468.399483843546</v>
      </c>
      <c r="G212" s="114">
        <f t="shared" si="18"/>
        <v>145793.50761660925</v>
      </c>
      <c r="H212" s="115">
        <f t="shared" si="15"/>
        <v>9505114.7505396828</v>
      </c>
      <c r="J212" s="116"/>
      <c r="K212" s="133"/>
      <c r="L212" s="134"/>
      <c r="M212" s="135"/>
      <c r="N212" s="136"/>
      <c r="O212" s="114"/>
      <c r="P212" s="114"/>
      <c r="Q212" s="114"/>
      <c r="R212" s="115"/>
    </row>
    <row r="213" spans="3:18" x14ac:dyDescent="0.2">
      <c r="C213" s="116">
        <v>200</v>
      </c>
      <c r="D213" s="113" t="str">
        <f t="shared" si="19"/>
        <v>11/2/2036</v>
      </c>
      <c r="E213" s="114">
        <f t="shared" si="16"/>
        <v>185261.90710045281</v>
      </c>
      <c r="F213" s="114">
        <f t="shared" si="17"/>
        <v>40071.279285959259</v>
      </c>
      <c r="G213" s="114">
        <f t="shared" si="18"/>
        <v>145190.62781449355</v>
      </c>
      <c r="H213" s="115">
        <f t="shared" si="15"/>
        <v>9465043.4712537229</v>
      </c>
      <c r="J213" s="116"/>
      <c r="K213" s="133"/>
      <c r="L213" s="134"/>
      <c r="M213" s="135"/>
      <c r="N213" s="136"/>
      <c r="O213" s="114"/>
      <c r="P213" s="114"/>
      <c r="Q213" s="114"/>
      <c r="R213" s="115"/>
    </row>
    <row r="214" spans="3:18" x14ac:dyDescent="0.2">
      <c r="C214" s="112">
        <v>201</v>
      </c>
      <c r="D214" s="113" t="str">
        <f t="shared" si="19"/>
        <v>12/2/2036</v>
      </c>
      <c r="E214" s="114">
        <f t="shared" si="16"/>
        <v>185261.90710045281</v>
      </c>
      <c r="F214" s="114">
        <f t="shared" si="17"/>
        <v>40683.368077052291</v>
      </c>
      <c r="G214" s="114">
        <f t="shared" si="18"/>
        <v>144578.53902340052</v>
      </c>
      <c r="H214" s="115">
        <f t="shared" si="15"/>
        <v>9424360.1031766701</v>
      </c>
      <c r="J214" s="112"/>
      <c r="K214" s="133"/>
      <c r="L214" s="134"/>
      <c r="M214" s="135"/>
      <c r="N214" s="136"/>
      <c r="O214" s="114"/>
      <c r="P214" s="114"/>
      <c r="Q214" s="114"/>
      <c r="R214" s="115"/>
    </row>
    <row r="215" spans="3:18" x14ac:dyDescent="0.2">
      <c r="C215" s="116">
        <v>202</v>
      </c>
      <c r="D215" s="113" t="str">
        <f t="shared" si="19"/>
        <v>1/2/2037</v>
      </c>
      <c r="E215" s="114">
        <f t="shared" si="16"/>
        <v>185261.90710045281</v>
      </c>
      <c r="F215" s="114">
        <f t="shared" si="17"/>
        <v>41304.806524429252</v>
      </c>
      <c r="G215" s="114">
        <f t="shared" si="18"/>
        <v>143957.10057602354</v>
      </c>
      <c r="H215" s="115">
        <f t="shared" si="15"/>
        <v>9383055.2966522407</v>
      </c>
      <c r="J215" s="116"/>
      <c r="K215" s="133"/>
      <c r="L215" s="134"/>
      <c r="M215" s="135"/>
      <c r="N215" s="136"/>
      <c r="O215" s="114"/>
      <c r="P215" s="114"/>
      <c r="Q215" s="114"/>
      <c r="R215" s="115"/>
    </row>
    <row r="216" spans="3:18" x14ac:dyDescent="0.2">
      <c r="C216" s="116">
        <v>203</v>
      </c>
      <c r="D216" s="113" t="str">
        <f t="shared" si="19"/>
        <v>2/2/2037</v>
      </c>
      <c r="E216" s="114">
        <f t="shared" si="16"/>
        <v>185261.90710045281</v>
      </c>
      <c r="F216" s="114">
        <f t="shared" si="17"/>
        <v>41935.737444089915</v>
      </c>
      <c r="G216" s="114">
        <f t="shared" si="18"/>
        <v>143326.16965636288</v>
      </c>
      <c r="H216" s="115">
        <f t="shared" si="15"/>
        <v>9341119.559208151</v>
      </c>
      <c r="J216" s="116"/>
      <c r="K216" s="133"/>
      <c r="L216" s="134"/>
      <c r="M216" s="135"/>
      <c r="N216" s="136"/>
      <c r="O216" s="114"/>
      <c r="P216" s="114"/>
      <c r="Q216" s="114"/>
      <c r="R216" s="115"/>
    </row>
    <row r="217" spans="3:18" x14ac:dyDescent="0.2">
      <c r="C217" s="112">
        <v>204</v>
      </c>
      <c r="D217" s="113" t="str">
        <f t="shared" si="19"/>
        <v>3/2/2037</v>
      </c>
      <c r="E217" s="114">
        <f t="shared" si="16"/>
        <v>185261.90710045281</v>
      </c>
      <c r="F217" s="114">
        <f t="shared" si="17"/>
        <v>42576.305833548387</v>
      </c>
      <c r="G217" s="114">
        <f t="shared" si="18"/>
        <v>142685.60126690441</v>
      </c>
      <c r="H217" s="115">
        <f t="shared" si="15"/>
        <v>9298543.2533746026</v>
      </c>
      <c r="J217" s="112"/>
      <c r="K217" s="133"/>
      <c r="L217" s="134"/>
      <c r="M217" s="135"/>
      <c r="N217" s="136"/>
      <c r="O217" s="114"/>
      <c r="P217" s="114"/>
      <c r="Q217" s="114"/>
      <c r="R217" s="115"/>
    </row>
    <row r="218" spans="3:18" x14ac:dyDescent="0.2">
      <c r="C218" s="116">
        <v>205</v>
      </c>
      <c r="D218" s="113" t="str">
        <f t="shared" si="19"/>
        <v>4/2/2037</v>
      </c>
      <c r="E218" s="114">
        <f t="shared" si="16"/>
        <v>185261.90710045281</v>
      </c>
      <c r="F218" s="114">
        <f t="shared" si="17"/>
        <v>43226.65890515584</v>
      </c>
      <c r="G218" s="114">
        <f t="shared" si="18"/>
        <v>142035.24819529697</v>
      </c>
      <c r="H218" s="115">
        <f t="shared" si="15"/>
        <v>9255316.5944694467</v>
      </c>
      <c r="J218" s="116"/>
      <c r="K218" s="133"/>
      <c r="L218" s="134"/>
      <c r="M218" s="135"/>
      <c r="N218" s="136"/>
      <c r="O218" s="114"/>
      <c r="P218" s="114"/>
      <c r="Q218" s="114"/>
      <c r="R218" s="115"/>
    </row>
    <row r="219" spans="3:18" x14ac:dyDescent="0.2">
      <c r="C219" s="116">
        <v>206</v>
      </c>
      <c r="D219" s="113" t="str">
        <f t="shared" si="19"/>
        <v>5/2/2037</v>
      </c>
      <c r="E219" s="114">
        <f t="shared" si="16"/>
        <v>185261.90710045281</v>
      </c>
      <c r="F219" s="114">
        <f t="shared" si="17"/>
        <v>43886.946119932101</v>
      </c>
      <c r="G219" s="114">
        <f t="shared" si="18"/>
        <v>141374.9609805207</v>
      </c>
      <c r="H219" s="115">
        <f t="shared" si="15"/>
        <v>9211429.6483495142</v>
      </c>
      <c r="J219" s="116"/>
      <c r="K219" s="133"/>
      <c r="L219" s="134"/>
      <c r="M219" s="135"/>
      <c r="N219" s="136"/>
      <c r="O219" s="114"/>
      <c r="P219" s="114"/>
      <c r="Q219" s="114"/>
      <c r="R219" s="115"/>
    </row>
    <row r="220" spans="3:18" x14ac:dyDescent="0.2">
      <c r="C220" s="112">
        <v>207</v>
      </c>
      <c r="D220" s="113" t="str">
        <f t="shared" si="19"/>
        <v>6/2/2037</v>
      </c>
      <c r="E220" s="114">
        <f t="shared" si="16"/>
        <v>185261.90710045281</v>
      </c>
      <c r="F220" s="114">
        <f t="shared" si="17"/>
        <v>44557.319221914055</v>
      </c>
      <c r="G220" s="114">
        <f t="shared" si="18"/>
        <v>140704.58787853873</v>
      </c>
      <c r="H220" s="115">
        <f t="shared" si="15"/>
        <v>9166872.3291276004</v>
      </c>
      <c r="J220" s="112"/>
      <c r="K220" s="133"/>
      <c r="L220" s="134"/>
      <c r="M220" s="135"/>
      <c r="N220" s="136"/>
      <c r="O220" s="114"/>
      <c r="P220" s="114"/>
      <c r="Q220" s="114"/>
      <c r="R220" s="115"/>
    </row>
    <row r="221" spans="3:18" x14ac:dyDescent="0.2">
      <c r="C221" s="116">
        <v>208</v>
      </c>
      <c r="D221" s="113" t="str">
        <f t="shared" si="19"/>
        <v>7/2/2037</v>
      </c>
      <c r="E221" s="114">
        <f t="shared" si="16"/>
        <v>185261.90710045281</v>
      </c>
      <c r="F221" s="114">
        <f t="shared" si="17"/>
        <v>45237.932273028797</v>
      </c>
      <c r="G221" s="114">
        <f t="shared" si="18"/>
        <v>140023.97482742404</v>
      </c>
      <c r="H221" s="115">
        <f t="shared" si="15"/>
        <v>9121634.396854572</v>
      </c>
      <c r="J221" s="116"/>
      <c r="K221" s="133"/>
      <c r="L221" s="134"/>
      <c r="M221" s="135"/>
      <c r="N221" s="136"/>
      <c r="O221" s="114"/>
      <c r="P221" s="114"/>
      <c r="Q221" s="114"/>
      <c r="R221" s="115"/>
    </row>
    <row r="222" spans="3:18" x14ac:dyDescent="0.2">
      <c r="C222" s="116">
        <v>209</v>
      </c>
      <c r="D222" s="113" t="str">
        <f t="shared" si="19"/>
        <v>8/2/2037</v>
      </c>
      <c r="E222" s="114">
        <f t="shared" si="16"/>
        <v>185261.90710045281</v>
      </c>
      <c r="F222" s="114">
        <f t="shared" si="17"/>
        <v>45928.941688499304</v>
      </c>
      <c r="G222" s="114">
        <f t="shared" si="18"/>
        <v>139332.96541195348</v>
      </c>
      <c r="H222" s="115">
        <f t="shared" si="15"/>
        <v>9075705.4551660735</v>
      </c>
      <c r="J222" s="116"/>
      <c r="K222" s="133"/>
      <c r="L222" s="134"/>
      <c r="M222" s="135"/>
      <c r="N222" s="136"/>
      <c r="O222" s="114"/>
      <c r="P222" s="114"/>
      <c r="Q222" s="114"/>
      <c r="R222" s="115"/>
    </row>
    <row r="223" spans="3:18" x14ac:dyDescent="0.2">
      <c r="C223" s="112">
        <v>210</v>
      </c>
      <c r="D223" s="113" t="str">
        <f t="shared" si="19"/>
        <v>9/2/2037</v>
      </c>
      <c r="E223" s="114">
        <f t="shared" si="16"/>
        <v>185261.90710045281</v>
      </c>
      <c r="F223" s="114">
        <f t="shared" si="17"/>
        <v>46630.506272791143</v>
      </c>
      <c r="G223" s="114">
        <f t="shared" si="18"/>
        <v>138631.40082766165</v>
      </c>
      <c r="H223" s="115">
        <f t="shared" si="15"/>
        <v>9029074.9488932826</v>
      </c>
      <c r="J223" s="112"/>
      <c r="K223" s="133"/>
      <c r="L223" s="134"/>
      <c r="M223" s="135"/>
      <c r="N223" s="136"/>
      <c r="O223" s="114"/>
      <c r="P223" s="114"/>
      <c r="Q223" s="114"/>
      <c r="R223" s="115"/>
    </row>
    <row r="224" spans="3:18" x14ac:dyDescent="0.2">
      <c r="C224" s="116">
        <v>211</v>
      </c>
      <c r="D224" s="113" t="str">
        <f t="shared" si="19"/>
        <v>10/2/2037</v>
      </c>
      <c r="E224" s="114">
        <f t="shared" si="16"/>
        <v>185261.90710045281</v>
      </c>
      <c r="F224" s="114">
        <f t="shared" si="17"/>
        <v>47342.787256108022</v>
      </c>
      <c r="G224" s="114">
        <f t="shared" si="18"/>
        <v>137919.11984434479</v>
      </c>
      <c r="H224" s="115">
        <f t="shared" si="15"/>
        <v>8981732.161637174</v>
      </c>
      <c r="J224" s="116"/>
      <c r="K224" s="133"/>
      <c r="L224" s="134"/>
      <c r="M224" s="135"/>
      <c r="N224" s="136"/>
      <c r="O224" s="114"/>
      <c r="P224" s="114"/>
      <c r="Q224" s="114"/>
      <c r="R224" s="115"/>
    </row>
    <row r="225" spans="3:18" x14ac:dyDescent="0.2">
      <c r="C225" s="116">
        <v>212</v>
      </c>
      <c r="D225" s="113" t="str">
        <f t="shared" si="19"/>
        <v>11/2/2037</v>
      </c>
      <c r="E225" s="114">
        <f t="shared" si="16"/>
        <v>185261.90710045281</v>
      </c>
      <c r="F225" s="114">
        <f t="shared" si="17"/>
        <v>48065.948331445063</v>
      </c>
      <c r="G225" s="114">
        <f t="shared" si="18"/>
        <v>137195.95876900773</v>
      </c>
      <c r="H225" s="115">
        <f t="shared" si="15"/>
        <v>8933666.2133057285</v>
      </c>
      <c r="J225" s="116"/>
      <c r="K225" s="133"/>
      <c r="L225" s="134"/>
      <c r="M225" s="135"/>
      <c r="N225" s="136"/>
      <c r="O225" s="114"/>
      <c r="P225" s="114"/>
      <c r="Q225" s="114"/>
      <c r="R225" s="115"/>
    </row>
    <row r="226" spans="3:18" x14ac:dyDescent="0.2">
      <c r="C226" s="112">
        <v>213</v>
      </c>
      <c r="D226" s="113" t="str">
        <f t="shared" si="19"/>
        <v>12/2/2037</v>
      </c>
      <c r="E226" s="114">
        <f t="shared" si="16"/>
        <v>185261.90710045281</v>
      </c>
      <c r="F226" s="114">
        <f t="shared" si="17"/>
        <v>48800.155692207889</v>
      </c>
      <c r="G226" s="114">
        <f t="shared" si="18"/>
        <v>136461.75140824492</v>
      </c>
      <c r="H226" s="115">
        <f t="shared" si="15"/>
        <v>8884866.05761352</v>
      </c>
      <c r="J226" s="112"/>
      <c r="K226" s="133"/>
      <c r="L226" s="134"/>
      <c r="M226" s="135"/>
      <c r="N226" s="136"/>
      <c r="O226" s="114"/>
      <c r="P226" s="114"/>
      <c r="Q226" s="114"/>
      <c r="R226" s="115"/>
    </row>
    <row r="227" spans="3:18" x14ac:dyDescent="0.2">
      <c r="C227" s="116">
        <v>214</v>
      </c>
      <c r="D227" s="113" t="str">
        <f t="shared" si="19"/>
        <v>1/2/2038</v>
      </c>
      <c r="E227" s="114">
        <f t="shared" si="16"/>
        <v>185261.90710045281</v>
      </c>
      <c r="F227" s="114">
        <f t="shared" si="17"/>
        <v>49545.578070406373</v>
      </c>
      <c r="G227" s="114">
        <f t="shared" si="18"/>
        <v>135716.32903004641</v>
      </c>
      <c r="H227" s="115">
        <f t="shared" si="15"/>
        <v>8835320.4795431141</v>
      </c>
      <c r="J227" s="116"/>
      <c r="K227" s="133"/>
      <c r="L227" s="134"/>
      <c r="M227" s="135"/>
      <c r="N227" s="136"/>
      <c r="O227" s="114"/>
      <c r="P227" s="114"/>
      <c r="Q227" s="114"/>
      <c r="R227" s="115"/>
    </row>
    <row r="228" spans="3:18" x14ac:dyDescent="0.2">
      <c r="C228" s="116">
        <v>215</v>
      </c>
      <c r="D228" s="113" t="str">
        <f t="shared" si="19"/>
        <v>2/2/2038</v>
      </c>
      <c r="E228" s="114">
        <f t="shared" si="16"/>
        <v>185261.90710045281</v>
      </c>
      <c r="F228" s="114">
        <f t="shared" si="17"/>
        <v>50302.386775431827</v>
      </c>
      <c r="G228" s="114">
        <f t="shared" si="18"/>
        <v>134959.52032502097</v>
      </c>
      <c r="H228" s="115">
        <f t="shared" si="15"/>
        <v>8785018.0927676819</v>
      </c>
      <c r="J228" s="116"/>
      <c r="K228" s="133"/>
      <c r="L228" s="134"/>
      <c r="M228" s="135"/>
      <c r="N228" s="136"/>
      <c r="O228" s="114"/>
      <c r="P228" s="114"/>
      <c r="Q228" s="114"/>
      <c r="R228" s="115"/>
    </row>
    <row r="229" spans="3:18" x14ac:dyDescent="0.2">
      <c r="C229" s="112">
        <v>216</v>
      </c>
      <c r="D229" s="113" t="str">
        <f t="shared" si="19"/>
        <v>3/2/2038</v>
      </c>
      <c r="E229" s="114">
        <f t="shared" si="16"/>
        <v>185261.90710045281</v>
      </c>
      <c r="F229" s="114">
        <f t="shared" si="17"/>
        <v>51070.755733426544</v>
      </c>
      <c r="G229" s="114">
        <f t="shared" si="18"/>
        <v>134191.15136702624</v>
      </c>
      <c r="H229" s="115">
        <f t="shared" si="15"/>
        <v>8733947.3370342553</v>
      </c>
      <c r="J229" s="112"/>
      <c r="K229" s="133"/>
      <c r="L229" s="134"/>
      <c r="M229" s="135"/>
      <c r="N229" s="136"/>
      <c r="O229" s="114"/>
      <c r="P229" s="114"/>
      <c r="Q229" s="114"/>
      <c r="R229" s="115"/>
    </row>
    <row r="230" spans="3:18" x14ac:dyDescent="0.2">
      <c r="C230" s="116">
        <v>217</v>
      </c>
      <c r="D230" s="113" t="str">
        <f t="shared" si="19"/>
        <v>4/2/2038</v>
      </c>
      <c r="E230" s="114">
        <f t="shared" si="16"/>
        <v>185261.90710045281</v>
      </c>
      <c r="F230" s="114">
        <f t="shared" si="17"/>
        <v>51850.861527254638</v>
      </c>
      <c r="G230" s="114">
        <f t="shared" si="18"/>
        <v>133411.04557319815</v>
      </c>
      <c r="H230" s="115">
        <f t="shared" si="15"/>
        <v>8682096.4755070005</v>
      </c>
      <c r="J230" s="116"/>
      <c r="K230" s="133"/>
      <c r="L230" s="134"/>
      <c r="M230" s="135"/>
      <c r="N230" s="136"/>
      <c r="O230" s="114"/>
      <c r="P230" s="114"/>
      <c r="Q230" s="114"/>
      <c r="R230" s="115"/>
    </row>
    <row r="231" spans="3:18" x14ac:dyDescent="0.2">
      <c r="C231" s="116">
        <v>218</v>
      </c>
      <c r="D231" s="113" t="str">
        <f t="shared" si="19"/>
        <v>5/2/2038</v>
      </c>
      <c r="E231" s="114">
        <f t="shared" si="16"/>
        <v>185261.90710045281</v>
      </c>
      <c r="F231" s="114">
        <f t="shared" si="17"/>
        <v>52642.883437083459</v>
      </c>
      <c r="G231" s="114">
        <f t="shared" si="18"/>
        <v>132619.02366336933</v>
      </c>
      <c r="H231" s="115">
        <f t="shared" si="15"/>
        <v>8629453.5920699164</v>
      </c>
      <c r="J231" s="116"/>
      <c r="K231" s="133"/>
      <c r="L231" s="134"/>
      <c r="M231" s="135"/>
      <c r="N231" s="136"/>
      <c r="O231" s="114"/>
      <c r="P231" s="114"/>
      <c r="Q231" s="114"/>
      <c r="R231" s="115"/>
    </row>
    <row r="232" spans="3:18" x14ac:dyDescent="0.2">
      <c r="C232" s="112">
        <v>219</v>
      </c>
      <c r="D232" s="113" t="str">
        <f t="shared" si="19"/>
        <v>6/2/2038</v>
      </c>
      <c r="E232" s="114">
        <f t="shared" si="16"/>
        <v>185261.90710045281</v>
      </c>
      <c r="F232" s="114">
        <f t="shared" si="17"/>
        <v>53447.003481584907</v>
      </c>
      <c r="G232" s="114">
        <f t="shared" si="18"/>
        <v>131814.90361886789</v>
      </c>
      <c r="H232" s="115">
        <f t="shared" si="15"/>
        <v>8576006.5885883309</v>
      </c>
      <c r="J232" s="112"/>
      <c r="K232" s="133"/>
      <c r="L232" s="134"/>
      <c r="M232" s="135"/>
      <c r="N232" s="136"/>
      <c r="O232" s="114"/>
      <c r="P232" s="114"/>
      <c r="Q232" s="114"/>
      <c r="R232" s="115"/>
    </row>
    <row r="233" spans="3:18" x14ac:dyDescent="0.2">
      <c r="C233" s="116">
        <v>220</v>
      </c>
      <c r="D233" s="113" t="str">
        <f t="shared" si="19"/>
        <v>7/2/2038</v>
      </c>
      <c r="E233" s="114">
        <f t="shared" si="16"/>
        <v>185261.90710045281</v>
      </c>
      <c r="F233" s="114">
        <f t="shared" si="17"/>
        <v>54263.406459766105</v>
      </c>
      <c r="G233" s="114">
        <f t="shared" si="18"/>
        <v>130998.50064068672</v>
      </c>
      <c r="H233" s="115">
        <f t="shared" si="15"/>
        <v>8521743.1821285654</v>
      </c>
      <c r="J233" s="116"/>
      <c r="K233" s="133"/>
      <c r="L233" s="134"/>
      <c r="M233" s="135"/>
      <c r="N233" s="136"/>
      <c r="O233" s="114"/>
      <c r="P233" s="114"/>
      <c r="Q233" s="114"/>
      <c r="R233" s="115"/>
    </row>
    <row r="234" spans="3:18" x14ac:dyDescent="0.2">
      <c r="C234" s="116">
        <v>221</v>
      </c>
      <c r="D234" s="113" t="str">
        <f t="shared" si="19"/>
        <v>8/2/2038</v>
      </c>
      <c r="E234" s="114">
        <f t="shared" si="16"/>
        <v>185261.90710045281</v>
      </c>
      <c r="F234" s="114">
        <f t="shared" si="17"/>
        <v>55092.279993439042</v>
      </c>
      <c r="G234" s="114">
        <f t="shared" si="18"/>
        <v>130169.62710701374</v>
      </c>
      <c r="H234" s="115">
        <f t="shared" si="15"/>
        <v>8466650.9021351263</v>
      </c>
      <c r="J234" s="116"/>
      <c r="K234" s="133"/>
      <c r="L234" s="134"/>
      <c r="M234" s="135"/>
      <c r="N234" s="136"/>
      <c r="O234" s="114"/>
      <c r="P234" s="114"/>
      <c r="Q234" s="114"/>
      <c r="R234" s="115"/>
    </row>
    <row r="235" spans="3:18" x14ac:dyDescent="0.2">
      <c r="C235" s="112">
        <v>222</v>
      </c>
      <c r="D235" s="113" t="str">
        <f t="shared" si="19"/>
        <v>9/2/2038</v>
      </c>
      <c r="E235" s="114">
        <f t="shared" si="16"/>
        <v>185261.90710045281</v>
      </c>
      <c r="F235" s="114">
        <f t="shared" si="17"/>
        <v>55933.814570338807</v>
      </c>
      <c r="G235" s="114">
        <f t="shared" si="18"/>
        <v>129328.09253011398</v>
      </c>
      <c r="H235" s="115">
        <f t="shared" si="15"/>
        <v>8410717.0875647869</v>
      </c>
      <c r="J235" s="112"/>
      <c r="K235" s="133"/>
      <c r="L235" s="134"/>
      <c r="M235" s="135"/>
      <c r="N235" s="136"/>
      <c r="O235" s="114"/>
      <c r="P235" s="114"/>
      <c r="Q235" s="114"/>
      <c r="R235" s="115"/>
    </row>
    <row r="236" spans="3:18" x14ac:dyDescent="0.2">
      <c r="C236" s="116">
        <v>223</v>
      </c>
      <c r="D236" s="113" t="str">
        <f t="shared" si="19"/>
        <v>10/2/2038</v>
      </c>
      <c r="E236" s="114">
        <f t="shared" si="16"/>
        <v>185261.90710045281</v>
      </c>
      <c r="F236" s="114">
        <f t="shared" si="17"/>
        <v>56788.203587900753</v>
      </c>
      <c r="G236" s="114">
        <f t="shared" si="18"/>
        <v>128473.70351255205</v>
      </c>
      <c r="H236" s="115">
        <f t="shared" si="15"/>
        <v>8353928.883976886</v>
      </c>
      <c r="J236" s="116"/>
      <c r="K236" s="133"/>
      <c r="L236" s="134"/>
      <c r="M236" s="135"/>
      <c r="N236" s="136"/>
      <c r="O236" s="114"/>
      <c r="P236" s="114"/>
      <c r="Q236" s="114"/>
      <c r="R236" s="115"/>
    </row>
    <row r="237" spans="3:18" x14ac:dyDescent="0.2">
      <c r="C237" s="116">
        <v>224</v>
      </c>
      <c r="D237" s="113" t="str">
        <f t="shared" si="19"/>
        <v>11/2/2038</v>
      </c>
      <c r="E237" s="114">
        <f t="shared" si="16"/>
        <v>185261.90710045281</v>
      </c>
      <c r="F237" s="114">
        <f t="shared" si="17"/>
        <v>57655.643397705935</v>
      </c>
      <c r="G237" s="114">
        <f t="shared" si="18"/>
        <v>127606.26370274686</v>
      </c>
      <c r="H237" s="115">
        <f t="shared" si="15"/>
        <v>8296273.2405791804</v>
      </c>
      <c r="J237" s="116"/>
      <c r="K237" s="133"/>
      <c r="L237" s="134"/>
      <c r="M237" s="135"/>
      <c r="N237" s="136"/>
      <c r="O237" s="114"/>
      <c r="P237" s="114"/>
      <c r="Q237" s="114"/>
      <c r="R237" s="115"/>
    </row>
    <row r="238" spans="3:18" x14ac:dyDescent="0.2">
      <c r="C238" s="112">
        <v>225</v>
      </c>
      <c r="D238" s="113" t="str">
        <f t="shared" si="19"/>
        <v>12/2/2038</v>
      </c>
      <c r="E238" s="114">
        <f t="shared" si="16"/>
        <v>185261.90710045281</v>
      </c>
      <c r="F238" s="114">
        <f t="shared" si="17"/>
        <v>58536.333350605877</v>
      </c>
      <c r="G238" s="114">
        <f t="shared" si="18"/>
        <v>126725.57374984691</v>
      </c>
      <c r="H238" s="115">
        <f t="shared" si="15"/>
        <v>8237736.9072285742</v>
      </c>
      <c r="J238" s="112"/>
      <c r="K238" s="133"/>
      <c r="L238" s="134"/>
      <c r="M238" s="135"/>
      <c r="N238" s="136"/>
      <c r="O238" s="114"/>
      <c r="P238" s="114"/>
      <c r="Q238" s="114"/>
      <c r="R238" s="115"/>
    </row>
    <row r="239" spans="3:18" x14ac:dyDescent="0.2">
      <c r="C239" s="116">
        <v>226</v>
      </c>
      <c r="D239" s="113" t="str">
        <f t="shared" si="19"/>
        <v>1/2/2039</v>
      </c>
      <c r="E239" s="114">
        <f t="shared" si="16"/>
        <v>185261.90710045281</v>
      </c>
      <c r="F239" s="114">
        <f t="shared" si="17"/>
        <v>59430.475842536391</v>
      </c>
      <c r="G239" s="114">
        <f t="shared" si="18"/>
        <v>125831.43125791641</v>
      </c>
      <c r="H239" s="115">
        <f t="shared" si="15"/>
        <v>8178306.4313860377</v>
      </c>
      <c r="J239" s="116"/>
      <c r="K239" s="133"/>
      <c r="L239" s="134"/>
      <c r="M239" s="135"/>
      <c r="N239" s="136"/>
      <c r="O239" s="114"/>
      <c r="P239" s="114"/>
      <c r="Q239" s="114"/>
      <c r="R239" s="115"/>
    </row>
    <row r="240" spans="3:18" x14ac:dyDescent="0.2">
      <c r="C240" s="116">
        <v>227</v>
      </c>
      <c r="D240" s="113" t="str">
        <f t="shared" si="19"/>
        <v>2/2/2039</v>
      </c>
      <c r="E240" s="114">
        <f t="shared" si="16"/>
        <v>185261.90710045281</v>
      </c>
      <c r="F240" s="114">
        <f t="shared" si="17"/>
        <v>60338.276361031145</v>
      </c>
      <c r="G240" s="114">
        <f t="shared" si="18"/>
        <v>124923.63073942166</v>
      </c>
      <c r="H240" s="115">
        <f t="shared" si="15"/>
        <v>8117968.1550250063</v>
      </c>
      <c r="J240" s="116"/>
      <c r="K240" s="133"/>
      <c r="L240" s="134"/>
      <c r="M240" s="135"/>
      <c r="N240" s="136"/>
      <c r="O240" s="114"/>
      <c r="P240" s="114"/>
      <c r="Q240" s="114"/>
      <c r="R240" s="115"/>
    </row>
    <row r="241" spans="3:18" x14ac:dyDescent="0.2">
      <c r="C241" s="112">
        <v>228</v>
      </c>
      <c r="D241" s="113" t="str">
        <f t="shared" si="19"/>
        <v>3/2/2039</v>
      </c>
      <c r="E241" s="114">
        <f t="shared" si="16"/>
        <v>185261.90710045281</v>
      </c>
      <c r="F241" s="114">
        <f t="shared" si="17"/>
        <v>61259.94353244589</v>
      </c>
      <c r="G241" s="114">
        <f t="shared" si="18"/>
        <v>124001.9635680069</v>
      </c>
      <c r="H241" s="115">
        <f t="shared" si="15"/>
        <v>8056708.2114925608</v>
      </c>
      <c r="J241" s="112"/>
      <c r="K241" s="133"/>
      <c r="L241" s="134"/>
      <c r="M241" s="135"/>
      <c r="N241" s="136"/>
      <c r="O241" s="114"/>
      <c r="P241" s="114"/>
      <c r="Q241" s="114"/>
      <c r="R241" s="115"/>
    </row>
    <row r="242" spans="3:18" x14ac:dyDescent="0.2">
      <c r="C242" s="116">
        <v>229</v>
      </c>
      <c r="D242" s="113" t="str">
        <f t="shared" si="19"/>
        <v>4/2/2039</v>
      </c>
      <c r="E242" s="114">
        <f t="shared" si="16"/>
        <v>185261.90710045281</v>
      </c>
      <c r="F242" s="114">
        <f t="shared" si="17"/>
        <v>62195.689169903999</v>
      </c>
      <c r="G242" s="114">
        <f t="shared" si="18"/>
        <v>123066.2179305488</v>
      </c>
      <c r="H242" s="115">
        <f t="shared" si="15"/>
        <v>7994512.5223226566</v>
      </c>
      <c r="J242" s="116"/>
      <c r="K242" s="133"/>
      <c r="L242" s="134"/>
      <c r="M242" s="135"/>
      <c r="N242" s="136"/>
      <c r="O242" s="114"/>
      <c r="P242" s="114"/>
      <c r="Q242" s="114"/>
      <c r="R242" s="115"/>
    </row>
    <row r="243" spans="3:18" x14ac:dyDescent="0.2">
      <c r="C243" s="116">
        <v>230</v>
      </c>
      <c r="D243" s="113" t="str">
        <f t="shared" si="19"/>
        <v>5/2/2039</v>
      </c>
      <c r="E243" s="114">
        <f t="shared" si="16"/>
        <v>185261.90710045281</v>
      </c>
      <c r="F243" s="114">
        <f t="shared" si="17"/>
        <v>63145.728321974282</v>
      </c>
      <c r="G243" s="114">
        <f t="shared" si="18"/>
        <v>122116.17877847853</v>
      </c>
      <c r="H243" s="115">
        <f t="shared" si="15"/>
        <v>7931366.7940006824</v>
      </c>
      <c r="J243" s="116"/>
      <c r="K243" s="133"/>
      <c r="L243" s="134"/>
      <c r="M243" s="135"/>
      <c r="N243" s="136"/>
      <c r="O243" s="114"/>
      <c r="P243" s="114"/>
      <c r="Q243" s="114"/>
      <c r="R243" s="115"/>
    </row>
    <row r="244" spans="3:18" x14ac:dyDescent="0.2">
      <c r="C244" s="112">
        <v>231</v>
      </c>
      <c r="D244" s="113" t="str">
        <f t="shared" si="19"/>
        <v>6/2/2039</v>
      </c>
      <c r="E244" s="114">
        <f t="shared" si="16"/>
        <v>185261.90710045281</v>
      </c>
      <c r="F244" s="114">
        <f t="shared" si="17"/>
        <v>64110.279322092443</v>
      </c>
      <c r="G244" s="114">
        <f t="shared" si="18"/>
        <v>121151.62777836037</v>
      </c>
      <c r="H244" s="115">
        <f t="shared" si="15"/>
        <v>7867256.51467859</v>
      </c>
      <c r="J244" s="112"/>
      <c r="K244" s="133"/>
      <c r="L244" s="134"/>
      <c r="M244" s="135"/>
      <c r="N244" s="136"/>
      <c r="O244" s="114"/>
      <c r="P244" s="114"/>
      <c r="Q244" s="114"/>
      <c r="R244" s="115"/>
    </row>
    <row r="245" spans="3:18" x14ac:dyDescent="0.2">
      <c r="C245" s="116">
        <v>232</v>
      </c>
      <c r="D245" s="113" t="str">
        <f t="shared" si="19"/>
        <v>7/2/2039</v>
      </c>
      <c r="E245" s="114">
        <f t="shared" si="16"/>
        <v>185261.90710045281</v>
      </c>
      <c r="F245" s="114">
        <f t="shared" si="17"/>
        <v>65089.563838737406</v>
      </c>
      <c r="G245" s="114">
        <f t="shared" si="18"/>
        <v>120172.34326171539</v>
      </c>
      <c r="H245" s="115">
        <f t="shared" si="15"/>
        <v>7802166.9508398529</v>
      </c>
      <c r="J245" s="116"/>
      <c r="K245" s="133"/>
      <c r="L245" s="134"/>
      <c r="M245" s="135"/>
      <c r="N245" s="136"/>
      <c r="O245" s="114"/>
      <c r="P245" s="114"/>
      <c r="Q245" s="114"/>
      <c r="R245" s="115"/>
    </row>
    <row r="246" spans="3:18" x14ac:dyDescent="0.2">
      <c r="C246" s="116">
        <v>233</v>
      </c>
      <c r="D246" s="113" t="str">
        <f t="shared" si="19"/>
        <v>8/2/2039</v>
      </c>
      <c r="E246" s="114">
        <f t="shared" si="16"/>
        <v>185261.90710045281</v>
      </c>
      <c r="F246" s="114">
        <f t="shared" si="17"/>
        <v>66083.80692637412</v>
      </c>
      <c r="G246" s="114">
        <f t="shared" si="18"/>
        <v>119178.10017407869</v>
      </c>
      <c r="H246" s="115">
        <f t="shared" si="15"/>
        <v>7736083.1439134786</v>
      </c>
      <c r="J246" s="116"/>
      <c r="K246" s="133"/>
      <c r="L246" s="134"/>
      <c r="M246" s="135"/>
      <c r="N246" s="136"/>
      <c r="O246" s="114"/>
      <c r="P246" s="114"/>
      <c r="Q246" s="114"/>
      <c r="R246" s="115"/>
    </row>
    <row r="247" spans="3:18" x14ac:dyDescent="0.2">
      <c r="C247" s="112">
        <v>234</v>
      </c>
      <c r="D247" s="113" t="str">
        <f t="shared" si="19"/>
        <v>9/2/2039</v>
      </c>
      <c r="E247" s="114">
        <f t="shared" si="16"/>
        <v>185261.90710045281</v>
      </c>
      <c r="F247" s="114">
        <f t="shared" si="17"/>
        <v>67093.237077174475</v>
      </c>
      <c r="G247" s="114">
        <f t="shared" si="18"/>
        <v>118168.67002327832</v>
      </c>
      <c r="H247" s="115">
        <f t="shared" si="15"/>
        <v>7668989.9068363039</v>
      </c>
      <c r="J247" s="112"/>
      <c r="K247" s="133"/>
      <c r="L247" s="134"/>
      <c r="M247" s="135"/>
      <c r="N247" s="136"/>
      <c r="O247" s="114"/>
      <c r="P247" s="114"/>
      <c r="Q247" s="114"/>
      <c r="R247" s="115"/>
    </row>
    <row r="248" spans="3:18" x14ac:dyDescent="0.2">
      <c r="C248" s="116">
        <v>235</v>
      </c>
      <c r="D248" s="113" t="str">
        <f t="shared" si="19"/>
        <v>10/2/2039</v>
      </c>
      <c r="E248" s="114">
        <f t="shared" si="16"/>
        <v>185261.90710045281</v>
      </c>
      <c r="F248" s="114">
        <f t="shared" si="17"/>
        <v>68118.08627352833</v>
      </c>
      <c r="G248" s="114">
        <f t="shared" si="18"/>
        <v>117143.82082692446</v>
      </c>
      <c r="H248" s="115">
        <f t="shared" si="15"/>
        <v>7600871.8205627752</v>
      </c>
      <c r="J248" s="116"/>
      <c r="K248" s="133"/>
      <c r="L248" s="134"/>
      <c r="M248" s="135"/>
      <c r="N248" s="136"/>
      <c r="O248" s="114"/>
      <c r="P248" s="114"/>
      <c r="Q248" s="114"/>
      <c r="R248" s="115"/>
    </row>
    <row r="249" spans="3:18" x14ac:dyDescent="0.2">
      <c r="C249" s="116">
        <v>236</v>
      </c>
      <c r="D249" s="113" t="str">
        <f t="shared" si="19"/>
        <v>11/2/2039</v>
      </c>
      <c r="E249" s="114">
        <f t="shared" si="16"/>
        <v>185261.90710045281</v>
      </c>
      <c r="F249" s="114">
        <f t="shared" si="17"/>
        <v>69158.590041356467</v>
      </c>
      <c r="G249" s="114">
        <f t="shared" si="18"/>
        <v>116103.31705909636</v>
      </c>
      <c r="H249" s="115">
        <f t="shared" si="15"/>
        <v>7531713.2305214191</v>
      </c>
      <c r="J249" s="116"/>
      <c r="K249" s="133"/>
      <c r="L249" s="134"/>
      <c r="M249" s="135"/>
      <c r="N249" s="136"/>
      <c r="O249" s="114"/>
      <c r="P249" s="114"/>
      <c r="Q249" s="114"/>
      <c r="R249" s="115"/>
    </row>
    <row r="250" spans="3:18" x14ac:dyDescent="0.2">
      <c r="C250" s="112">
        <v>237</v>
      </c>
      <c r="D250" s="113" t="str">
        <f t="shared" si="19"/>
        <v>12/2/2039</v>
      </c>
      <c r="E250" s="114">
        <f t="shared" si="16"/>
        <v>185261.90710045281</v>
      </c>
      <c r="F250" s="114">
        <f t="shared" si="17"/>
        <v>70214.98750423819</v>
      </c>
      <c r="G250" s="114">
        <f t="shared" si="18"/>
        <v>115046.9195962146</v>
      </c>
      <c r="H250" s="115">
        <f t="shared" si="15"/>
        <v>7461498.2430171808</v>
      </c>
      <c r="J250" s="112"/>
      <c r="K250" s="133"/>
      <c r="L250" s="134"/>
      <c r="M250" s="135"/>
      <c r="N250" s="136"/>
      <c r="O250" s="114"/>
      <c r="P250" s="114"/>
      <c r="Q250" s="114"/>
      <c r="R250" s="115"/>
    </row>
    <row r="251" spans="3:18" x14ac:dyDescent="0.2">
      <c r="C251" s="116">
        <v>238</v>
      </c>
      <c r="D251" s="113" t="str">
        <f t="shared" si="19"/>
        <v>1/2/2040</v>
      </c>
      <c r="E251" s="114">
        <f t="shared" si="16"/>
        <v>185261.90710045281</v>
      </c>
      <c r="F251" s="114">
        <f t="shared" si="17"/>
        <v>71287.521438365409</v>
      </c>
      <c r="G251" s="114">
        <f t="shared" si="18"/>
        <v>113974.38566208737</v>
      </c>
      <c r="H251" s="115">
        <f t="shared" si="15"/>
        <v>7390210.721578815</v>
      </c>
      <c r="J251" s="116"/>
      <c r="K251" s="133"/>
      <c r="L251" s="134"/>
      <c r="M251" s="135"/>
      <c r="N251" s="136"/>
      <c r="O251" s="114"/>
      <c r="P251" s="114"/>
      <c r="Q251" s="114"/>
      <c r="R251" s="115"/>
    </row>
    <row r="252" spans="3:18" x14ac:dyDescent="0.2">
      <c r="C252" s="116">
        <v>239</v>
      </c>
      <c r="D252" s="113" t="str">
        <f t="shared" si="19"/>
        <v>2/2/2040</v>
      </c>
      <c r="E252" s="114">
        <f t="shared" si="16"/>
        <v>185261.90710045281</v>
      </c>
      <c r="F252" s="114">
        <f t="shared" si="17"/>
        <v>72376.438328336459</v>
      </c>
      <c r="G252" s="114">
        <f t="shared" si="18"/>
        <v>112885.46877211635</v>
      </c>
      <c r="H252" s="115">
        <f t="shared" si="15"/>
        <v>7317834.283250479</v>
      </c>
      <c r="J252" s="116"/>
      <c r="K252" s="133"/>
      <c r="L252" s="134"/>
      <c r="M252" s="135"/>
      <c r="N252" s="136"/>
      <c r="O252" s="114"/>
      <c r="P252" s="114"/>
      <c r="Q252" s="114"/>
      <c r="R252" s="115"/>
    </row>
    <row r="253" spans="3:18" x14ac:dyDescent="0.2">
      <c r="C253" s="112">
        <v>240</v>
      </c>
      <c r="D253" s="113" t="str">
        <f>CONCATENATE(IF(MONTH(D252)&lt;12,MONTH(D252)+1,MONTH(D252)-11),"/",DAY(D252),"/",IF(MONTH(D252)&lt;12,YEAR(D252),YEAR(D252)+1))</f>
        <v>3/2/2040</v>
      </c>
      <c r="E253" s="114">
        <f t="shared" si="16"/>
        <v>185261.90710045281</v>
      </c>
      <c r="F253" s="114">
        <f t="shared" si="17"/>
        <v>73481.988423801784</v>
      </c>
      <c r="G253" s="114">
        <f t="shared" si="18"/>
        <v>111779.918676651</v>
      </c>
      <c r="H253" s="115">
        <f t="shared" si="15"/>
        <v>7244352.2948266771</v>
      </c>
      <c r="J253" s="112"/>
      <c r="K253" s="133"/>
      <c r="L253" s="134"/>
      <c r="M253" s="135"/>
      <c r="N253" s="136"/>
      <c r="O253" s="114"/>
      <c r="P253" s="114"/>
      <c r="Q253" s="114"/>
      <c r="R253" s="115"/>
    </row>
  </sheetData>
  <mergeCells count="3">
    <mergeCell ref="B10:D10"/>
    <mergeCell ref="C12:H12"/>
    <mergeCell ref="J12:R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"/>
  <sheetViews>
    <sheetView topLeftCell="H25" workbookViewId="0">
      <selection activeCell="E13" sqref="E13:L13"/>
    </sheetView>
  </sheetViews>
  <sheetFormatPr defaultRowHeight="12.75" x14ac:dyDescent="0.2"/>
  <cols>
    <col min="3" max="3" width="35.140625" bestFit="1" customWidth="1"/>
    <col min="5" max="5" width="31.28515625" bestFit="1" customWidth="1"/>
    <col min="6" max="6" width="11" bestFit="1" customWidth="1"/>
    <col min="7" max="7" width="8.7109375" bestFit="1" customWidth="1"/>
    <col min="8" max="8" width="10.42578125" bestFit="1" customWidth="1"/>
    <col min="13" max="13" width="22.7109375" bestFit="1" customWidth="1"/>
    <col min="14" max="14" width="41" bestFit="1" customWidth="1"/>
    <col min="15" max="15" width="6.28515625" customWidth="1"/>
    <col min="16" max="16" width="26.42578125" bestFit="1" customWidth="1"/>
    <col min="17" max="17" width="15.5703125" bestFit="1" customWidth="1"/>
  </cols>
  <sheetData>
    <row r="1" spans="2:19" ht="13.5" thickBot="1" x14ac:dyDescent="0.25"/>
    <row r="2" spans="2:19" ht="14.25" thickTop="1" thickBot="1" x14ac:dyDescent="0.25">
      <c r="B2" s="52" t="s">
        <v>36</v>
      </c>
      <c r="C2" s="53"/>
      <c r="D2" s="53"/>
      <c r="E2" s="53"/>
      <c r="F2" s="54"/>
      <c r="G2" s="55" t="s">
        <v>35</v>
      </c>
      <c r="H2" s="55" t="s">
        <v>34</v>
      </c>
    </row>
    <row r="3" spans="2:19" ht="14.25" thickTop="1" thickBot="1" x14ac:dyDescent="0.25">
      <c r="B3" s="52"/>
      <c r="C3" s="53"/>
      <c r="D3" s="53"/>
      <c r="E3" s="53"/>
      <c r="F3" s="54"/>
      <c r="G3" s="53"/>
      <c r="H3" s="53"/>
    </row>
    <row r="4" spans="2:19" ht="90.75" thickTop="1" thickBot="1" x14ac:dyDescent="0.25">
      <c r="B4" s="56" t="s">
        <v>37</v>
      </c>
      <c r="C4" s="57" t="s">
        <v>38</v>
      </c>
      <c r="D4" s="57" t="s">
        <v>39</v>
      </c>
      <c r="E4" s="57" t="s">
        <v>40</v>
      </c>
      <c r="F4" s="58" t="s">
        <v>41</v>
      </c>
      <c r="G4" s="59" t="s">
        <v>42</v>
      </c>
      <c r="H4" s="60" t="s">
        <v>43</v>
      </c>
      <c r="M4" s="57" t="s">
        <v>190</v>
      </c>
      <c r="N4" s="57" t="s">
        <v>191</v>
      </c>
      <c r="O4" s="57" t="s">
        <v>192</v>
      </c>
      <c r="P4" s="57" t="s">
        <v>194</v>
      </c>
      <c r="Q4" s="57" t="s">
        <v>193</v>
      </c>
    </row>
    <row r="5" spans="2:19" ht="13.5" thickTop="1" x14ac:dyDescent="0.2">
      <c r="B5" s="61">
        <v>88</v>
      </c>
      <c r="C5" s="62" t="s">
        <v>44</v>
      </c>
      <c r="D5" s="63" t="s">
        <v>45</v>
      </c>
      <c r="E5" s="62" t="s">
        <v>46</v>
      </c>
      <c r="F5" s="64">
        <v>1049000</v>
      </c>
      <c r="G5" s="61">
        <v>5</v>
      </c>
      <c r="H5" s="61" t="s">
        <v>47</v>
      </c>
      <c r="I5" t="str">
        <f>C5</f>
        <v>Al HAJ FAW MOTORS PRIVATE LIMITED</v>
      </c>
      <c r="M5" t="s">
        <v>186</v>
      </c>
      <c r="N5" s="85">
        <v>1.4E-2</v>
      </c>
      <c r="O5" s="85">
        <v>1.9900000000000001E-2</v>
      </c>
      <c r="P5" s="85">
        <v>1.4E-2</v>
      </c>
      <c r="Q5" s="85">
        <v>1.9900000000000001E-2</v>
      </c>
      <c r="S5" s="86" t="s">
        <v>196</v>
      </c>
    </row>
    <row r="6" spans="2:19" x14ac:dyDescent="0.2">
      <c r="B6" s="65">
        <v>89</v>
      </c>
      <c r="C6" s="66" t="s">
        <v>44</v>
      </c>
      <c r="D6" s="66" t="s">
        <v>48</v>
      </c>
      <c r="E6" s="66" t="s">
        <v>49</v>
      </c>
      <c r="F6" s="67">
        <v>1344000</v>
      </c>
      <c r="G6" s="65">
        <v>6</v>
      </c>
      <c r="H6" s="65">
        <v>3</v>
      </c>
      <c r="I6" t="str">
        <f t="shared" ref="I6:I69" si="0">C6</f>
        <v>Al HAJ FAW MOTORS PRIVATE LIMITED</v>
      </c>
      <c r="M6" t="s">
        <v>187</v>
      </c>
      <c r="N6" s="85">
        <v>1.4999999999999999E-2</v>
      </c>
      <c r="O6" s="85">
        <v>1.9900000000000001E-2</v>
      </c>
      <c r="P6" s="85">
        <v>2.9000000000000001E-2</v>
      </c>
      <c r="Q6" s="85">
        <v>3.5000000000000003E-2</v>
      </c>
      <c r="S6" s="86" t="s">
        <v>197</v>
      </c>
    </row>
    <row r="7" spans="2:19" x14ac:dyDescent="0.2">
      <c r="B7" s="65">
        <v>90</v>
      </c>
      <c r="C7" s="66" t="s">
        <v>44</v>
      </c>
      <c r="D7" s="66" t="s">
        <v>50</v>
      </c>
      <c r="E7" s="66" t="s">
        <v>51</v>
      </c>
      <c r="F7" s="67">
        <v>1609000</v>
      </c>
      <c r="G7" s="65">
        <v>6</v>
      </c>
      <c r="H7" s="65">
        <v>3</v>
      </c>
      <c r="I7" t="str">
        <f t="shared" si="0"/>
        <v>Al HAJ FAW MOTORS PRIVATE LIMITED</v>
      </c>
      <c r="M7" t="s">
        <v>188</v>
      </c>
      <c r="N7" s="85">
        <v>2.2499999999999999E-2</v>
      </c>
      <c r="O7" s="85">
        <v>2.5000000000000001E-2</v>
      </c>
      <c r="P7" s="85">
        <v>2.2499999999999999E-2</v>
      </c>
      <c r="Q7" s="85">
        <v>2.5000000000000001E-2</v>
      </c>
    </row>
    <row r="8" spans="2:19" x14ac:dyDescent="0.2">
      <c r="B8" s="61">
        <v>91</v>
      </c>
      <c r="C8" s="63" t="s">
        <v>52</v>
      </c>
      <c r="D8" s="63" t="s">
        <v>53</v>
      </c>
      <c r="E8" s="63" t="s">
        <v>54</v>
      </c>
      <c r="F8" s="68">
        <v>12020000</v>
      </c>
      <c r="G8" s="61">
        <v>5</v>
      </c>
      <c r="H8" s="61">
        <v>5</v>
      </c>
      <c r="I8" t="str">
        <f t="shared" si="0"/>
        <v>HONDA ATLAS CARS PAKISTAN LIMITED</v>
      </c>
      <c r="M8" t="s">
        <v>33</v>
      </c>
      <c r="N8" s="85" t="s">
        <v>195</v>
      </c>
      <c r="O8" s="85" t="s">
        <v>195</v>
      </c>
      <c r="P8" s="85" t="s">
        <v>195</v>
      </c>
      <c r="Q8" s="85" t="s">
        <v>195</v>
      </c>
    </row>
    <row r="9" spans="2:19" x14ac:dyDescent="0.2">
      <c r="B9" s="61">
        <v>93</v>
      </c>
      <c r="C9" s="63" t="s">
        <v>52</v>
      </c>
      <c r="D9" s="63" t="s">
        <v>55</v>
      </c>
      <c r="E9" s="63" t="s">
        <v>56</v>
      </c>
      <c r="F9" s="68">
        <v>2467000</v>
      </c>
      <c r="G9" s="61">
        <v>7</v>
      </c>
      <c r="H9" s="61">
        <v>5</v>
      </c>
      <c r="I9" t="str">
        <f t="shared" si="0"/>
        <v>HONDA ATLAS CARS PAKISTAN LIMITED</v>
      </c>
      <c r="M9" t="s">
        <v>189</v>
      </c>
      <c r="N9" s="85">
        <v>1.4E-2</v>
      </c>
      <c r="O9" s="85">
        <v>1.89E-2</v>
      </c>
      <c r="P9" s="85">
        <v>2.9000000000000001E-2</v>
      </c>
      <c r="Q9" s="85">
        <v>3.5000000000000003E-2</v>
      </c>
    </row>
    <row r="10" spans="2:19" x14ac:dyDescent="0.2">
      <c r="B10" s="61">
        <v>94</v>
      </c>
      <c r="C10" s="63" t="s">
        <v>52</v>
      </c>
      <c r="D10" s="63" t="s">
        <v>55</v>
      </c>
      <c r="E10" s="63" t="s">
        <v>57</v>
      </c>
      <c r="F10" s="68">
        <v>2657000</v>
      </c>
      <c r="G10" s="61">
        <v>7</v>
      </c>
      <c r="H10" s="61">
        <v>5</v>
      </c>
      <c r="I10" t="str">
        <f t="shared" si="0"/>
        <v>HONDA ATLAS CARS PAKISTAN LIMITED</v>
      </c>
    </row>
    <row r="11" spans="2:19" x14ac:dyDescent="0.2">
      <c r="B11" s="61">
        <v>95</v>
      </c>
      <c r="C11" s="63" t="s">
        <v>52</v>
      </c>
      <c r="D11" s="63" t="s">
        <v>55</v>
      </c>
      <c r="E11" s="63" t="s">
        <v>58</v>
      </c>
      <c r="F11" s="68">
        <v>2547000</v>
      </c>
      <c r="G11" s="61">
        <v>7</v>
      </c>
      <c r="H11" s="61">
        <v>5</v>
      </c>
      <c r="I11" t="str">
        <f t="shared" si="0"/>
        <v>HONDA ATLAS CARS PAKISTAN LIMITED</v>
      </c>
    </row>
    <row r="12" spans="2:19" x14ac:dyDescent="0.2">
      <c r="B12" s="61">
        <v>96</v>
      </c>
      <c r="C12" s="63" t="s">
        <v>52</v>
      </c>
      <c r="D12" s="63" t="s">
        <v>55</v>
      </c>
      <c r="E12" s="63" t="s">
        <v>59</v>
      </c>
      <c r="F12" s="68">
        <v>2717000</v>
      </c>
      <c r="G12" s="61">
        <v>7</v>
      </c>
      <c r="H12" s="61">
        <v>5</v>
      </c>
      <c r="I12" t="str">
        <f t="shared" si="0"/>
        <v>HONDA ATLAS CARS PAKISTAN LIMITED</v>
      </c>
    </row>
    <row r="13" spans="2:19" x14ac:dyDescent="0.2">
      <c r="B13" s="61">
        <v>97</v>
      </c>
      <c r="C13" s="63" t="s">
        <v>52</v>
      </c>
      <c r="D13" s="63" t="s">
        <v>55</v>
      </c>
      <c r="E13" s="63" t="s">
        <v>60</v>
      </c>
      <c r="F13" s="68">
        <v>2717000</v>
      </c>
      <c r="G13" s="61">
        <v>7</v>
      </c>
      <c r="H13" s="61">
        <v>5</v>
      </c>
      <c r="I13" t="str">
        <f t="shared" si="0"/>
        <v>HONDA ATLAS CARS PAKISTAN LIMITED</v>
      </c>
      <c r="M13" s="86" t="s">
        <v>198</v>
      </c>
    </row>
    <row r="14" spans="2:19" x14ac:dyDescent="0.2">
      <c r="B14" s="61">
        <v>98</v>
      </c>
      <c r="C14" s="63" t="s">
        <v>52</v>
      </c>
      <c r="D14" s="63" t="s">
        <v>55</v>
      </c>
      <c r="E14" s="63" t="s">
        <v>61</v>
      </c>
      <c r="F14" s="68">
        <v>2877000</v>
      </c>
      <c r="G14" s="61">
        <v>7</v>
      </c>
      <c r="H14" s="61">
        <v>5</v>
      </c>
      <c r="I14" t="str">
        <f t="shared" si="0"/>
        <v>HONDA ATLAS CARS PAKISTAN LIMITED</v>
      </c>
      <c r="M14" s="85">
        <v>8.2400000000000001E-2</v>
      </c>
    </row>
    <row r="15" spans="2:19" x14ac:dyDescent="0.2">
      <c r="B15" s="61">
        <v>99</v>
      </c>
      <c r="C15" s="63" t="s">
        <v>52</v>
      </c>
      <c r="D15" s="63" t="s">
        <v>62</v>
      </c>
      <c r="E15" s="66" t="s">
        <v>63</v>
      </c>
      <c r="F15" s="67">
        <v>4717000</v>
      </c>
      <c r="G15" s="61">
        <v>7</v>
      </c>
      <c r="H15" s="61">
        <v>5</v>
      </c>
      <c r="I15" t="str">
        <f t="shared" si="0"/>
        <v>HONDA ATLAS CARS PAKISTAN LIMITED</v>
      </c>
    </row>
    <row r="16" spans="2:19" x14ac:dyDescent="0.2">
      <c r="B16" s="61">
        <v>100</v>
      </c>
      <c r="C16" s="63" t="s">
        <v>52</v>
      </c>
      <c r="D16" s="63" t="s">
        <v>62</v>
      </c>
      <c r="E16" s="63" t="s">
        <v>64</v>
      </c>
      <c r="F16" s="68">
        <v>3747000</v>
      </c>
      <c r="G16" s="61">
        <v>7</v>
      </c>
      <c r="H16" s="61">
        <v>5</v>
      </c>
      <c r="I16" t="str">
        <f t="shared" si="0"/>
        <v>HONDA ATLAS CARS PAKISTAN LIMITED</v>
      </c>
    </row>
    <row r="17" spans="2:17" x14ac:dyDescent="0.2">
      <c r="B17" s="61">
        <v>101</v>
      </c>
      <c r="C17" s="63" t="s">
        <v>52</v>
      </c>
      <c r="D17" s="63" t="s">
        <v>62</v>
      </c>
      <c r="E17" s="63" t="s">
        <v>65</v>
      </c>
      <c r="F17" s="68">
        <v>3997000</v>
      </c>
      <c r="G17" s="61">
        <v>7</v>
      </c>
      <c r="H17" s="61">
        <v>5</v>
      </c>
      <c r="I17" t="str">
        <f t="shared" si="0"/>
        <v>HONDA ATLAS CARS PAKISTAN LIMITED</v>
      </c>
    </row>
    <row r="18" spans="2:17" x14ac:dyDescent="0.2">
      <c r="B18" s="61">
        <v>103</v>
      </c>
      <c r="C18" s="63" t="s">
        <v>52</v>
      </c>
      <c r="D18" s="63" t="s">
        <v>66</v>
      </c>
      <c r="E18" s="63" t="s">
        <v>67</v>
      </c>
      <c r="F18" s="68">
        <v>10721000</v>
      </c>
      <c r="G18" s="61">
        <v>5</v>
      </c>
      <c r="H18" s="61">
        <v>5</v>
      </c>
      <c r="I18" t="str">
        <f t="shared" si="0"/>
        <v>HONDA ATLAS CARS PAKISTAN LIMITED</v>
      </c>
    </row>
    <row r="19" spans="2:17" x14ac:dyDescent="0.2">
      <c r="B19" s="61">
        <v>110</v>
      </c>
      <c r="C19" s="63" t="s">
        <v>52</v>
      </c>
      <c r="D19" s="63" t="s">
        <v>68</v>
      </c>
      <c r="E19" s="63" t="s">
        <v>69</v>
      </c>
      <c r="F19" s="68">
        <v>3337000</v>
      </c>
      <c r="G19" s="65">
        <v>7</v>
      </c>
      <c r="H19" s="61">
        <v>5</v>
      </c>
      <c r="I19" t="str">
        <f t="shared" si="0"/>
        <v>HONDA ATLAS CARS PAKISTAN LIMITED</v>
      </c>
    </row>
    <row r="20" spans="2:17" x14ac:dyDescent="0.2">
      <c r="B20" s="61">
        <v>115</v>
      </c>
      <c r="C20" s="63" t="s">
        <v>52</v>
      </c>
      <c r="D20" s="63" t="s">
        <v>70</v>
      </c>
      <c r="E20" s="63" t="s">
        <v>71</v>
      </c>
      <c r="F20" s="68">
        <v>4817000</v>
      </c>
      <c r="G20" s="61">
        <v>5</v>
      </c>
      <c r="H20" s="61">
        <v>5</v>
      </c>
      <c r="I20" t="str">
        <f t="shared" si="0"/>
        <v>HONDA ATLAS CARS PAKISTAN LIMITED</v>
      </c>
    </row>
    <row r="21" spans="2:17" x14ac:dyDescent="0.2">
      <c r="B21" s="61">
        <v>183</v>
      </c>
      <c r="C21" s="63" t="s">
        <v>72</v>
      </c>
      <c r="D21" s="63" t="s">
        <v>73</v>
      </c>
      <c r="E21" s="66" t="s">
        <v>74</v>
      </c>
      <c r="F21" s="67">
        <v>1633000</v>
      </c>
      <c r="G21" s="65">
        <v>5</v>
      </c>
      <c r="H21" s="69" t="s">
        <v>47</v>
      </c>
      <c r="I21" t="str">
        <f t="shared" si="0"/>
        <v>PAK SUZUKI MOTORS COMPANY LIMITED</v>
      </c>
    </row>
    <row r="22" spans="2:17" x14ac:dyDescent="0.2">
      <c r="B22" s="61">
        <v>184</v>
      </c>
      <c r="C22" s="63" t="s">
        <v>72</v>
      </c>
      <c r="D22" s="63" t="s">
        <v>73</v>
      </c>
      <c r="E22" s="66" t="s">
        <v>75</v>
      </c>
      <c r="F22" s="67">
        <v>1433000</v>
      </c>
      <c r="G22" s="65">
        <v>5</v>
      </c>
      <c r="H22" s="69" t="s">
        <v>47</v>
      </c>
      <c r="I22" t="str">
        <f t="shared" si="0"/>
        <v>PAK SUZUKI MOTORS COMPANY LIMITED</v>
      </c>
      <c r="N22" s="86" t="s">
        <v>217</v>
      </c>
      <c r="O22" s="86" t="s">
        <v>197</v>
      </c>
      <c r="P22" s="86" t="s">
        <v>197</v>
      </c>
      <c r="Q22" s="85">
        <v>1.4999999999999999E-2</v>
      </c>
    </row>
    <row r="23" spans="2:17" x14ac:dyDescent="0.2">
      <c r="B23" s="61">
        <v>185</v>
      </c>
      <c r="C23" s="63" t="s">
        <v>72</v>
      </c>
      <c r="D23" s="63" t="s">
        <v>73</v>
      </c>
      <c r="E23" s="66" t="s">
        <v>76</v>
      </c>
      <c r="F23" s="67">
        <v>1633000</v>
      </c>
      <c r="G23" s="65">
        <v>5</v>
      </c>
      <c r="H23" s="69" t="s">
        <v>47</v>
      </c>
      <c r="I23" t="str">
        <f t="shared" si="0"/>
        <v>PAK SUZUKI MOTORS COMPANY LIMITED</v>
      </c>
      <c r="N23" s="86" t="s">
        <v>221</v>
      </c>
      <c r="O23" s="86" t="s">
        <v>197</v>
      </c>
      <c r="P23" s="86" t="s">
        <v>196</v>
      </c>
      <c r="Q23" s="89">
        <v>2.9000000000000001E-2</v>
      </c>
    </row>
    <row r="24" spans="2:17" x14ac:dyDescent="0.2">
      <c r="B24" s="61">
        <v>187</v>
      </c>
      <c r="C24" s="63" t="s">
        <v>72</v>
      </c>
      <c r="D24" s="63" t="s">
        <v>77</v>
      </c>
      <c r="E24" s="63" t="s">
        <v>78</v>
      </c>
      <c r="F24" s="68">
        <v>3460000</v>
      </c>
      <c r="G24" s="70">
        <v>7</v>
      </c>
      <c r="H24" s="71">
        <v>5</v>
      </c>
      <c r="I24" t="str">
        <f t="shared" si="0"/>
        <v>PAK SUZUKI MOTORS COMPANY LIMITED</v>
      </c>
      <c r="N24" t="s">
        <v>199</v>
      </c>
      <c r="O24" s="86" t="s">
        <v>196</v>
      </c>
      <c r="P24" s="86" t="s">
        <v>197</v>
      </c>
      <c r="Q24" s="85">
        <v>1.9900000000000001E-2</v>
      </c>
    </row>
    <row r="25" spans="2:17" x14ac:dyDescent="0.2">
      <c r="B25" s="61">
        <v>188</v>
      </c>
      <c r="C25" s="63" t="s">
        <v>72</v>
      </c>
      <c r="D25" s="63" t="s">
        <v>79</v>
      </c>
      <c r="E25" s="63" t="s">
        <v>80</v>
      </c>
      <c r="F25" s="68">
        <v>1134000</v>
      </c>
      <c r="G25" s="61">
        <v>5</v>
      </c>
      <c r="H25" s="69" t="s">
        <v>47</v>
      </c>
      <c r="I25" t="str">
        <f t="shared" si="0"/>
        <v>PAK SUZUKI MOTORS COMPANY LIMITED</v>
      </c>
      <c r="N25" t="s">
        <v>203</v>
      </c>
      <c r="O25" s="86" t="s">
        <v>196</v>
      </c>
      <c r="P25" s="86" t="s">
        <v>196</v>
      </c>
      <c r="Q25" s="85">
        <v>3.5000000000000003E-2</v>
      </c>
    </row>
    <row r="26" spans="2:17" x14ac:dyDescent="0.2">
      <c r="B26" s="61">
        <v>189</v>
      </c>
      <c r="C26" s="63" t="s">
        <v>72</v>
      </c>
      <c r="D26" s="63" t="s">
        <v>81</v>
      </c>
      <c r="E26" s="63" t="s">
        <v>82</v>
      </c>
      <c r="F26" s="68">
        <v>1780000</v>
      </c>
      <c r="G26" s="70">
        <v>7</v>
      </c>
      <c r="H26" s="71">
        <v>5</v>
      </c>
      <c r="I26" t="str">
        <f t="shared" si="0"/>
        <v>PAK SUZUKI MOTORS COMPANY LIMITED</v>
      </c>
      <c r="N26" s="86" t="s">
        <v>218</v>
      </c>
      <c r="O26" s="86" t="s">
        <v>197</v>
      </c>
      <c r="P26" s="86" t="s">
        <v>197</v>
      </c>
      <c r="Q26" s="104">
        <v>1.4999999999999999E-2</v>
      </c>
    </row>
    <row r="27" spans="2:17" x14ac:dyDescent="0.2">
      <c r="B27" s="61">
        <v>190</v>
      </c>
      <c r="C27" s="63" t="s">
        <v>72</v>
      </c>
      <c r="D27" s="63" t="s">
        <v>81</v>
      </c>
      <c r="E27" s="63" t="s">
        <v>83</v>
      </c>
      <c r="F27" s="68">
        <v>1970000</v>
      </c>
      <c r="G27" s="70">
        <v>7</v>
      </c>
      <c r="H27" s="71">
        <v>5</v>
      </c>
      <c r="I27" t="str">
        <f t="shared" si="0"/>
        <v>PAK SUZUKI MOTORS COMPANY LIMITED</v>
      </c>
      <c r="N27" s="86" t="s">
        <v>222</v>
      </c>
      <c r="O27" s="86" t="s">
        <v>197</v>
      </c>
      <c r="P27" s="86" t="s">
        <v>196</v>
      </c>
      <c r="Q27" s="104">
        <v>1.4999999999999999E-2</v>
      </c>
    </row>
    <row r="28" spans="2:17" x14ac:dyDescent="0.2">
      <c r="B28" s="61">
        <v>197</v>
      </c>
      <c r="C28" s="72" t="s">
        <v>72</v>
      </c>
      <c r="D28" s="63" t="s">
        <v>84</v>
      </c>
      <c r="E28" s="62" t="s">
        <v>85</v>
      </c>
      <c r="F28" s="64">
        <v>1075000</v>
      </c>
      <c r="G28" s="65">
        <v>5</v>
      </c>
      <c r="H28" s="69" t="s">
        <v>47</v>
      </c>
      <c r="I28" t="str">
        <f t="shared" si="0"/>
        <v>PAK SUZUKI MOTORS COMPANY LIMITED</v>
      </c>
      <c r="N28" t="s">
        <v>200</v>
      </c>
      <c r="O28" s="86" t="s">
        <v>196</v>
      </c>
      <c r="P28" s="86" t="s">
        <v>197</v>
      </c>
      <c r="Q28" s="85">
        <v>1.9900000000000001E-2</v>
      </c>
    </row>
    <row r="29" spans="2:17" x14ac:dyDescent="0.2">
      <c r="B29" s="61">
        <v>199</v>
      </c>
      <c r="C29" s="63" t="s">
        <v>72</v>
      </c>
      <c r="D29" s="63" t="s">
        <v>86</v>
      </c>
      <c r="E29" s="63" t="s">
        <v>87</v>
      </c>
      <c r="F29" s="68">
        <v>2030000</v>
      </c>
      <c r="G29" s="65">
        <v>7</v>
      </c>
      <c r="H29" s="61">
        <v>5</v>
      </c>
      <c r="I29" t="str">
        <f t="shared" si="0"/>
        <v>PAK SUZUKI MOTORS COMPANY LIMITED</v>
      </c>
      <c r="N29" t="s">
        <v>204</v>
      </c>
      <c r="O29" s="86" t="s">
        <v>196</v>
      </c>
      <c r="P29" s="86" t="s">
        <v>196</v>
      </c>
      <c r="Q29" s="89">
        <v>1.9900000000000001E-2</v>
      </c>
    </row>
    <row r="30" spans="2:17" x14ac:dyDescent="0.2">
      <c r="B30" s="61">
        <v>200</v>
      </c>
      <c r="C30" s="63" t="s">
        <v>72</v>
      </c>
      <c r="D30" s="63" t="s">
        <v>86</v>
      </c>
      <c r="E30" s="63" t="s">
        <v>88</v>
      </c>
      <c r="F30" s="68">
        <v>2210000</v>
      </c>
      <c r="G30" s="65">
        <v>7</v>
      </c>
      <c r="H30" s="61">
        <v>5</v>
      </c>
      <c r="I30" t="str">
        <f t="shared" si="0"/>
        <v>PAK SUZUKI MOTORS COMPANY LIMITED</v>
      </c>
      <c r="N30" s="86" t="s">
        <v>219</v>
      </c>
      <c r="O30" s="86" t="s">
        <v>197</v>
      </c>
      <c r="P30" s="86" t="s">
        <v>197</v>
      </c>
      <c r="Q30" s="85">
        <v>2.2499999999999999E-2</v>
      </c>
    </row>
    <row r="31" spans="2:17" x14ac:dyDescent="0.2">
      <c r="B31" s="61">
        <v>202</v>
      </c>
      <c r="C31" s="63" t="s">
        <v>72</v>
      </c>
      <c r="D31" s="63" t="s">
        <v>89</v>
      </c>
      <c r="E31" s="63" t="s">
        <v>90</v>
      </c>
      <c r="F31" s="68">
        <v>6500000</v>
      </c>
      <c r="G31" s="61">
        <v>5</v>
      </c>
      <c r="H31" s="61">
        <v>5</v>
      </c>
      <c r="I31" t="str">
        <f t="shared" si="0"/>
        <v>PAK SUZUKI MOTORS COMPANY LIMITED</v>
      </c>
      <c r="N31" s="86" t="s">
        <v>223</v>
      </c>
      <c r="O31" s="86" t="s">
        <v>197</v>
      </c>
      <c r="P31" s="86" t="s">
        <v>196</v>
      </c>
      <c r="Q31" s="85">
        <v>2.2499999999999999E-2</v>
      </c>
    </row>
    <row r="32" spans="2:17" x14ac:dyDescent="0.2">
      <c r="B32" s="61">
        <v>204</v>
      </c>
      <c r="C32" s="63" t="s">
        <v>72</v>
      </c>
      <c r="D32" s="63" t="s">
        <v>91</v>
      </c>
      <c r="E32" s="63" t="s">
        <v>92</v>
      </c>
      <c r="F32" s="68">
        <v>1640000</v>
      </c>
      <c r="G32" s="70">
        <v>7</v>
      </c>
      <c r="H32" s="61">
        <v>5</v>
      </c>
      <c r="I32" t="str">
        <f t="shared" si="0"/>
        <v>PAK SUZUKI MOTORS COMPANY LIMITED</v>
      </c>
      <c r="N32" t="s">
        <v>201</v>
      </c>
      <c r="O32" s="86" t="s">
        <v>196</v>
      </c>
      <c r="P32" s="86" t="s">
        <v>197</v>
      </c>
      <c r="Q32" s="85">
        <v>2.5000000000000001E-2</v>
      </c>
    </row>
    <row r="33" spans="2:19" x14ac:dyDescent="0.2">
      <c r="B33" s="61">
        <v>205</v>
      </c>
      <c r="C33" s="63" t="s">
        <v>72</v>
      </c>
      <c r="D33" s="63" t="s">
        <v>91</v>
      </c>
      <c r="E33" s="63" t="s">
        <v>93</v>
      </c>
      <c r="F33" s="68">
        <v>1730000</v>
      </c>
      <c r="G33" s="70">
        <v>7</v>
      </c>
      <c r="H33" s="61">
        <v>5</v>
      </c>
      <c r="I33" t="str">
        <f t="shared" si="0"/>
        <v>PAK SUZUKI MOTORS COMPANY LIMITED</v>
      </c>
      <c r="N33" t="s">
        <v>205</v>
      </c>
      <c r="O33" s="86" t="s">
        <v>196</v>
      </c>
      <c r="P33" s="86" t="s">
        <v>196</v>
      </c>
      <c r="Q33" s="85">
        <v>2.5000000000000001E-2</v>
      </c>
    </row>
    <row r="34" spans="2:19" x14ac:dyDescent="0.2">
      <c r="B34" s="61">
        <v>206</v>
      </c>
      <c r="C34" s="63" t="s">
        <v>72</v>
      </c>
      <c r="D34" s="63" t="s">
        <v>94</v>
      </c>
      <c r="E34" s="63" t="s">
        <v>95</v>
      </c>
      <c r="F34" s="68">
        <v>2300000</v>
      </c>
      <c r="G34" s="61">
        <v>7</v>
      </c>
      <c r="H34" s="61">
        <v>5</v>
      </c>
      <c r="I34" t="str">
        <f t="shared" si="0"/>
        <v>PAK SUZUKI MOTORS COMPANY LIMITED</v>
      </c>
      <c r="N34" s="86" t="s">
        <v>220</v>
      </c>
      <c r="O34" s="86" t="s">
        <v>197</v>
      </c>
      <c r="P34" s="86" t="s">
        <v>197</v>
      </c>
      <c r="Q34" s="85">
        <v>1.3999999999999999E-2</v>
      </c>
    </row>
    <row r="35" spans="2:19" x14ac:dyDescent="0.2">
      <c r="B35" s="61">
        <v>207</v>
      </c>
      <c r="C35" s="63" t="s">
        <v>72</v>
      </c>
      <c r="D35" s="63" t="s">
        <v>94</v>
      </c>
      <c r="E35" s="63" t="s">
        <v>96</v>
      </c>
      <c r="F35" s="68">
        <v>2500000</v>
      </c>
      <c r="G35" s="61">
        <v>7</v>
      </c>
      <c r="H35" s="61">
        <v>5</v>
      </c>
      <c r="I35" t="str">
        <f t="shared" si="0"/>
        <v>PAK SUZUKI MOTORS COMPANY LIMITED</v>
      </c>
      <c r="N35" s="86" t="s">
        <v>224</v>
      </c>
      <c r="O35" s="86" t="s">
        <v>197</v>
      </c>
      <c r="P35" s="86" t="s">
        <v>196</v>
      </c>
      <c r="Q35" s="85">
        <v>2.8999999999999998E-2</v>
      </c>
    </row>
    <row r="36" spans="2:19" x14ac:dyDescent="0.2">
      <c r="B36" s="61">
        <v>233</v>
      </c>
      <c r="C36" s="63" t="s">
        <v>97</v>
      </c>
      <c r="D36" s="66" t="s">
        <v>98</v>
      </c>
      <c r="E36" s="63" t="s">
        <v>99</v>
      </c>
      <c r="F36" s="68">
        <v>3375000</v>
      </c>
      <c r="G36" s="65">
        <v>7</v>
      </c>
      <c r="H36" s="61">
        <v>5</v>
      </c>
      <c r="I36" t="str">
        <f t="shared" si="0"/>
        <v>INDUS MOTORS COMPANY LIMITED</v>
      </c>
      <c r="N36" t="s">
        <v>202</v>
      </c>
      <c r="O36" s="86" t="s">
        <v>196</v>
      </c>
      <c r="P36" s="86" t="s">
        <v>197</v>
      </c>
      <c r="Q36" s="85">
        <v>1.89E-2</v>
      </c>
    </row>
    <row r="37" spans="2:19" x14ac:dyDescent="0.2">
      <c r="B37" s="61">
        <v>234</v>
      </c>
      <c r="C37" s="63" t="s">
        <v>97</v>
      </c>
      <c r="D37" s="63" t="s">
        <v>98</v>
      </c>
      <c r="E37" s="63" t="s">
        <v>100</v>
      </c>
      <c r="F37" s="68">
        <v>3555000</v>
      </c>
      <c r="G37" s="65">
        <v>7</v>
      </c>
      <c r="H37" s="61">
        <v>5</v>
      </c>
      <c r="I37" t="str">
        <f t="shared" si="0"/>
        <v>INDUS MOTORS COMPANY LIMITED</v>
      </c>
      <c r="N37" t="s">
        <v>206</v>
      </c>
      <c r="O37" s="86" t="s">
        <v>196</v>
      </c>
      <c r="P37" s="86" t="s">
        <v>196</v>
      </c>
      <c r="Q37" s="85">
        <v>3.5000000000000003E-2</v>
      </c>
    </row>
    <row r="38" spans="2:19" x14ac:dyDescent="0.2">
      <c r="B38" s="61">
        <v>238</v>
      </c>
      <c r="C38" s="63" t="s">
        <v>97</v>
      </c>
      <c r="D38" s="63" t="s">
        <v>101</v>
      </c>
      <c r="E38" s="63" t="s">
        <v>102</v>
      </c>
      <c r="F38" s="68"/>
      <c r="G38" s="61">
        <v>7</v>
      </c>
      <c r="H38" s="61">
        <v>5</v>
      </c>
      <c r="I38" t="str">
        <f t="shared" si="0"/>
        <v>INDUS MOTORS COMPANY LIMITED</v>
      </c>
    </row>
    <row r="39" spans="2:19" x14ac:dyDescent="0.2">
      <c r="B39" s="61">
        <v>239</v>
      </c>
      <c r="C39" s="63" t="s">
        <v>97</v>
      </c>
      <c r="D39" s="63" t="s">
        <v>101</v>
      </c>
      <c r="E39" s="63" t="s">
        <v>102</v>
      </c>
      <c r="F39" s="68"/>
      <c r="G39" s="61">
        <v>7</v>
      </c>
      <c r="H39" s="61">
        <v>5</v>
      </c>
      <c r="I39" t="str">
        <f t="shared" si="0"/>
        <v>INDUS MOTORS COMPANY LIMITED</v>
      </c>
    </row>
    <row r="40" spans="2:19" x14ac:dyDescent="0.2">
      <c r="B40" s="61">
        <v>341</v>
      </c>
      <c r="C40" s="73" t="s">
        <v>103</v>
      </c>
      <c r="D40" s="74" t="s">
        <v>104</v>
      </c>
      <c r="E40" s="73" t="s">
        <v>104</v>
      </c>
      <c r="F40" s="75">
        <v>1179000</v>
      </c>
      <c r="G40" s="74">
        <v>5</v>
      </c>
      <c r="H40" s="61" t="s">
        <v>47</v>
      </c>
      <c r="I40" t="str">
        <f t="shared" si="0"/>
        <v>MASTER MOTORS LIMITED</v>
      </c>
      <c r="S40" t="s">
        <v>251</v>
      </c>
    </row>
    <row r="41" spans="2:19" x14ac:dyDescent="0.2">
      <c r="B41" s="65">
        <v>342</v>
      </c>
      <c r="C41" s="76" t="s">
        <v>103</v>
      </c>
      <c r="D41" s="76" t="s">
        <v>105</v>
      </c>
      <c r="E41" s="76" t="s">
        <v>105</v>
      </c>
      <c r="F41" s="77">
        <v>1435000</v>
      </c>
      <c r="G41" s="76">
        <v>5</v>
      </c>
      <c r="H41" s="65" t="s">
        <v>47</v>
      </c>
      <c r="I41" t="str">
        <f t="shared" si="0"/>
        <v>MASTER MOTORS LIMITED</v>
      </c>
      <c r="S41" t="s">
        <v>252</v>
      </c>
    </row>
    <row r="42" spans="2:19" x14ac:dyDescent="0.2">
      <c r="B42" s="61">
        <v>343</v>
      </c>
      <c r="C42" s="63" t="s">
        <v>97</v>
      </c>
      <c r="D42" s="76" t="s">
        <v>106</v>
      </c>
      <c r="E42" s="76" t="s">
        <v>107</v>
      </c>
      <c r="F42" s="78">
        <v>5919500</v>
      </c>
      <c r="G42" s="65">
        <v>7</v>
      </c>
      <c r="H42" s="65">
        <v>5</v>
      </c>
      <c r="I42" t="str">
        <f t="shared" si="0"/>
        <v>INDUS MOTORS COMPANY LIMITED</v>
      </c>
      <c r="P42" s="86" t="s">
        <v>280</v>
      </c>
      <c r="Q42" s="90">
        <v>0.15429999999999999</v>
      </c>
    </row>
    <row r="43" spans="2:19" x14ac:dyDescent="0.2">
      <c r="B43" s="61">
        <v>344</v>
      </c>
      <c r="C43" s="63" t="s">
        <v>97</v>
      </c>
      <c r="D43" s="76" t="s">
        <v>106</v>
      </c>
      <c r="E43" s="76" t="s">
        <v>108</v>
      </c>
      <c r="F43" s="78">
        <v>6349500</v>
      </c>
      <c r="G43" s="65">
        <v>7</v>
      </c>
      <c r="H43" s="65">
        <v>5</v>
      </c>
      <c r="I43" t="str">
        <f t="shared" si="0"/>
        <v>INDUS MOTORS COMPANY LIMITED</v>
      </c>
      <c r="P43" s="86" t="s">
        <v>283</v>
      </c>
      <c r="Q43" s="90">
        <f>R43</f>
        <v>0.16930000000000001</v>
      </c>
      <c r="R43" s="153">
        <f>Q42+1.5%</f>
        <v>0.16930000000000001</v>
      </c>
    </row>
    <row r="44" spans="2:19" x14ac:dyDescent="0.2">
      <c r="B44" s="61">
        <v>345</v>
      </c>
      <c r="C44" s="63" t="s">
        <v>97</v>
      </c>
      <c r="D44" s="76" t="s">
        <v>106</v>
      </c>
      <c r="E44" s="76" t="s">
        <v>109</v>
      </c>
      <c r="F44" s="78">
        <v>6671500</v>
      </c>
      <c r="G44" s="65">
        <v>7</v>
      </c>
      <c r="H44" s="65">
        <v>5</v>
      </c>
      <c r="I44" t="str">
        <f t="shared" si="0"/>
        <v>INDUS MOTORS COMPANY LIMITED</v>
      </c>
      <c r="P44" s="86" t="s">
        <v>281</v>
      </c>
      <c r="Q44" s="90">
        <v>0.18329999999999999</v>
      </c>
    </row>
    <row r="45" spans="2:19" x14ac:dyDescent="0.2">
      <c r="B45" s="61">
        <v>346</v>
      </c>
      <c r="C45" s="63" t="s">
        <v>97</v>
      </c>
      <c r="D45" s="76" t="s">
        <v>106</v>
      </c>
      <c r="E45" s="76" t="s">
        <v>110</v>
      </c>
      <c r="F45" s="78">
        <v>7048500</v>
      </c>
      <c r="G45" s="65">
        <v>7</v>
      </c>
      <c r="H45" s="65">
        <v>5</v>
      </c>
      <c r="I45" t="str">
        <f t="shared" si="0"/>
        <v>INDUS MOTORS COMPANY LIMITED</v>
      </c>
      <c r="P45" s="86" t="s">
        <v>282</v>
      </c>
      <c r="Q45" s="90">
        <f>R45</f>
        <v>0.19829999999999998</v>
      </c>
      <c r="R45" s="152">
        <f>Q44+1.5%</f>
        <v>0.19829999999999998</v>
      </c>
    </row>
    <row r="46" spans="2:19" x14ac:dyDescent="0.2">
      <c r="B46" s="61">
        <v>348</v>
      </c>
      <c r="C46" s="79" t="s">
        <v>111</v>
      </c>
      <c r="D46" s="76" t="s">
        <v>112</v>
      </c>
      <c r="E46" s="74" t="s">
        <v>113</v>
      </c>
      <c r="F46" s="80">
        <v>4905000</v>
      </c>
      <c r="G46" s="65">
        <v>7</v>
      </c>
      <c r="H46" s="65">
        <v>5</v>
      </c>
      <c r="I46" t="str">
        <f t="shared" si="0"/>
        <v>KIA LUCKY MOTORS PAKISTAN LIMITED</v>
      </c>
      <c r="P46" s="86"/>
      <c r="Q46" s="90"/>
    </row>
    <row r="47" spans="2:19" x14ac:dyDescent="0.2">
      <c r="B47" s="61">
        <v>349</v>
      </c>
      <c r="C47" s="79" t="s">
        <v>111</v>
      </c>
      <c r="D47" s="76" t="s">
        <v>114</v>
      </c>
      <c r="E47" s="74" t="s">
        <v>115</v>
      </c>
      <c r="F47" s="80">
        <v>5405000</v>
      </c>
      <c r="G47" s="65">
        <v>7</v>
      </c>
      <c r="H47" s="65">
        <v>5</v>
      </c>
      <c r="I47" t="str">
        <f t="shared" si="0"/>
        <v>KIA LUCKY MOTORS PAKISTAN LIMITED</v>
      </c>
      <c r="P47" s="86"/>
      <c r="Q47" s="90"/>
    </row>
    <row r="48" spans="2:19" x14ac:dyDescent="0.2">
      <c r="B48" s="61">
        <v>352</v>
      </c>
      <c r="C48" s="79" t="s">
        <v>111</v>
      </c>
      <c r="D48" s="76" t="s">
        <v>116</v>
      </c>
      <c r="E48" s="74" t="s">
        <v>117</v>
      </c>
      <c r="F48" s="80">
        <v>1904000</v>
      </c>
      <c r="G48" s="65">
        <v>7</v>
      </c>
      <c r="H48" s="65">
        <v>5</v>
      </c>
      <c r="I48" t="str">
        <f t="shared" si="0"/>
        <v>KIA LUCKY MOTORS PAKISTAN LIMITED</v>
      </c>
      <c r="P48" s="86"/>
      <c r="Q48" s="90"/>
    </row>
    <row r="49" spans="2:18" x14ac:dyDescent="0.2">
      <c r="B49" s="61">
        <v>353</v>
      </c>
      <c r="C49" s="79" t="s">
        <v>111</v>
      </c>
      <c r="D49" s="76" t="s">
        <v>118</v>
      </c>
      <c r="E49" s="74" t="s">
        <v>119</v>
      </c>
      <c r="F49" s="80">
        <v>2054000</v>
      </c>
      <c r="G49" s="65">
        <v>7</v>
      </c>
      <c r="H49" s="65">
        <v>5</v>
      </c>
      <c r="I49" t="str">
        <f t="shared" si="0"/>
        <v>KIA LUCKY MOTORS PAKISTAN LIMITED</v>
      </c>
      <c r="P49" s="86"/>
      <c r="Q49" s="90"/>
    </row>
    <row r="50" spans="2:18" x14ac:dyDescent="0.2">
      <c r="B50" s="61">
        <v>355</v>
      </c>
      <c r="C50" s="63" t="s">
        <v>97</v>
      </c>
      <c r="D50" s="63" t="s">
        <v>101</v>
      </c>
      <c r="E50" s="66" t="s">
        <v>120</v>
      </c>
      <c r="F50" s="67">
        <v>9158000</v>
      </c>
      <c r="G50" s="63">
        <v>7</v>
      </c>
      <c r="H50" s="63">
        <v>5</v>
      </c>
      <c r="I50" t="str">
        <f t="shared" si="0"/>
        <v>INDUS MOTORS COMPANY LIMITED</v>
      </c>
      <c r="P50" s="86"/>
      <c r="Q50" s="90"/>
    </row>
    <row r="51" spans="2:18" x14ac:dyDescent="0.2">
      <c r="B51" s="61">
        <v>356</v>
      </c>
      <c r="C51" s="63" t="s">
        <v>72</v>
      </c>
      <c r="D51" s="63" t="s">
        <v>81</v>
      </c>
      <c r="E51" s="63" t="s">
        <v>121</v>
      </c>
      <c r="F51" s="68">
        <v>2130000</v>
      </c>
      <c r="G51" s="61">
        <v>7</v>
      </c>
      <c r="H51" s="61">
        <v>5</v>
      </c>
      <c r="I51" t="str">
        <f t="shared" si="0"/>
        <v>PAK SUZUKI MOTORS COMPANY LIMITED</v>
      </c>
      <c r="P51" s="86"/>
      <c r="Q51" s="90"/>
    </row>
    <row r="52" spans="2:18" x14ac:dyDescent="0.2">
      <c r="B52" s="61">
        <v>358</v>
      </c>
      <c r="C52" s="63" t="s">
        <v>97</v>
      </c>
      <c r="D52" s="63" t="s">
        <v>122</v>
      </c>
      <c r="E52" s="66" t="s">
        <v>123</v>
      </c>
      <c r="F52" s="67">
        <v>7708000</v>
      </c>
      <c r="G52" s="61">
        <v>7</v>
      </c>
      <c r="H52" s="61">
        <v>5</v>
      </c>
      <c r="I52" t="str">
        <f t="shared" si="0"/>
        <v>INDUS MOTORS COMPANY LIMITED</v>
      </c>
      <c r="P52" s="86"/>
      <c r="Q52" s="90"/>
    </row>
    <row r="53" spans="2:18" x14ac:dyDescent="0.2">
      <c r="B53" s="61">
        <v>359</v>
      </c>
      <c r="C53" s="62" t="s">
        <v>124</v>
      </c>
      <c r="D53" s="63" t="s">
        <v>125</v>
      </c>
      <c r="E53" s="62" t="s">
        <v>126</v>
      </c>
      <c r="F53" s="64">
        <v>2502800</v>
      </c>
      <c r="G53" s="61">
        <v>5</v>
      </c>
      <c r="H53" s="61" t="s">
        <v>47</v>
      </c>
      <c r="I53" t="str">
        <f t="shared" si="0"/>
        <v>HYUNDAI NISHAT MOTOR (Private) LIMITED</v>
      </c>
      <c r="P53" s="86"/>
      <c r="Q53" s="90"/>
    </row>
    <row r="54" spans="2:18" x14ac:dyDescent="0.2">
      <c r="B54" s="61">
        <v>360</v>
      </c>
      <c r="C54" s="62" t="s">
        <v>124</v>
      </c>
      <c r="D54" s="63" t="s">
        <v>125</v>
      </c>
      <c r="E54" s="62" t="s">
        <v>127</v>
      </c>
      <c r="F54" s="64">
        <v>2482800</v>
      </c>
      <c r="G54" s="61">
        <v>5</v>
      </c>
      <c r="H54" s="61" t="s">
        <v>47</v>
      </c>
      <c r="I54" t="str">
        <f t="shared" si="0"/>
        <v>HYUNDAI NISHAT MOTOR (Private) LIMITED</v>
      </c>
      <c r="P54" s="86"/>
      <c r="Q54" s="90"/>
    </row>
    <row r="55" spans="2:18" x14ac:dyDescent="0.2">
      <c r="B55" s="61">
        <v>361</v>
      </c>
      <c r="C55" s="62" t="s">
        <v>124</v>
      </c>
      <c r="D55" s="63" t="s">
        <v>125</v>
      </c>
      <c r="E55" s="62" t="s">
        <v>128</v>
      </c>
      <c r="F55" s="64">
        <v>2462800</v>
      </c>
      <c r="G55" s="61">
        <v>5</v>
      </c>
      <c r="H55" s="61" t="s">
        <v>47</v>
      </c>
      <c r="I55" t="str">
        <f t="shared" si="0"/>
        <v>HYUNDAI NISHAT MOTOR (Private) LIMITED</v>
      </c>
      <c r="P55" s="86"/>
      <c r="Q55" s="90"/>
    </row>
    <row r="56" spans="2:18" x14ac:dyDescent="0.2">
      <c r="B56" s="61">
        <v>362</v>
      </c>
      <c r="C56" s="63" t="s">
        <v>72</v>
      </c>
      <c r="D56" s="63" t="s">
        <v>91</v>
      </c>
      <c r="E56" s="63" t="s">
        <v>129</v>
      </c>
      <c r="F56" s="68">
        <v>1890000</v>
      </c>
      <c r="G56" s="61">
        <v>7</v>
      </c>
      <c r="H56" s="61">
        <v>5</v>
      </c>
      <c r="I56" t="str">
        <f t="shared" si="0"/>
        <v>PAK SUZUKI MOTORS COMPANY LIMITED</v>
      </c>
      <c r="Q56" s="90"/>
    </row>
    <row r="57" spans="2:18" x14ac:dyDescent="0.2">
      <c r="B57" s="61">
        <v>365</v>
      </c>
      <c r="C57" s="79" t="s">
        <v>111</v>
      </c>
      <c r="D57" s="76" t="s">
        <v>130</v>
      </c>
      <c r="E57" s="76" t="s">
        <v>131</v>
      </c>
      <c r="F57" s="78">
        <v>8705000</v>
      </c>
      <c r="G57" s="65">
        <v>7</v>
      </c>
      <c r="H57" s="65" t="s">
        <v>47</v>
      </c>
      <c r="I57" t="str">
        <f t="shared" si="0"/>
        <v>KIA LUCKY MOTORS PAKISTAN LIMITED</v>
      </c>
      <c r="Q57" s="90"/>
      <c r="R57" s="152"/>
    </row>
    <row r="58" spans="2:18" x14ac:dyDescent="0.2">
      <c r="B58" s="61">
        <v>366</v>
      </c>
      <c r="C58" s="79" t="s">
        <v>111</v>
      </c>
      <c r="D58" s="76" t="s">
        <v>132</v>
      </c>
      <c r="E58" s="76" t="s">
        <v>133</v>
      </c>
      <c r="F58" s="78">
        <v>9505000</v>
      </c>
      <c r="G58" s="65">
        <v>7</v>
      </c>
      <c r="H58" s="65" t="s">
        <v>47</v>
      </c>
      <c r="I58" t="str">
        <f t="shared" si="0"/>
        <v>KIA LUCKY MOTORS PAKISTAN LIMITED</v>
      </c>
    </row>
    <row r="59" spans="2:18" x14ac:dyDescent="0.2">
      <c r="B59" s="61">
        <v>367</v>
      </c>
      <c r="C59" s="63" t="s">
        <v>97</v>
      </c>
      <c r="D59" s="66" t="s">
        <v>134</v>
      </c>
      <c r="E59" s="66" t="s">
        <v>135</v>
      </c>
      <c r="F59" s="67">
        <v>2515000</v>
      </c>
      <c r="G59" s="61">
        <v>7</v>
      </c>
      <c r="H59" s="61">
        <v>5</v>
      </c>
      <c r="I59" t="str">
        <f t="shared" si="0"/>
        <v>INDUS MOTORS COMPANY LIMITED</v>
      </c>
    </row>
    <row r="60" spans="2:18" x14ac:dyDescent="0.2">
      <c r="B60" s="61">
        <v>368</v>
      </c>
      <c r="C60" s="63" t="s">
        <v>97</v>
      </c>
      <c r="D60" s="66" t="s">
        <v>136</v>
      </c>
      <c r="E60" s="66" t="s">
        <v>137</v>
      </c>
      <c r="F60" s="67">
        <v>2695000</v>
      </c>
      <c r="G60" s="61">
        <v>7</v>
      </c>
      <c r="H60" s="61">
        <v>5</v>
      </c>
      <c r="I60" t="str">
        <f t="shared" si="0"/>
        <v>INDUS MOTORS COMPANY LIMITED</v>
      </c>
    </row>
    <row r="61" spans="2:18" x14ac:dyDescent="0.2">
      <c r="B61" s="61">
        <v>369</v>
      </c>
      <c r="C61" s="63" t="s">
        <v>97</v>
      </c>
      <c r="D61" s="66" t="s">
        <v>138</v>
      </c>
      <c r="E61" s="66" t="s">
        <v>139</v>
      </c>
      <c r="F61" s="67">
        <v>2625000</v>
      </c>
      <c r="G61" s="61">
        <v>7</v>
      </c>
      <c r="H61" s="61">
        <v>5</v>
      </c>
      <c r="I61" t="str">
        <f t="shared" si="0"/>
        <v>INDUS MOTORS COMPANY LIMITED</v>
      </c>
    </row>
    <row r="62" spans="2:18" x14ac:dyDescent="0.2">
      <c r="B62" s="61">
        <v>370</v>
      </c>
      <c r="C62" s="63" t="s">
        <v>97</v>
      </c>
      <c r="D62" s="66" t="s">
        <v>140</v>
      </c>
      <c r="E62" s="66" t="s">
        <v>141</v>
      </c>
      <c r="F62" s="67">
        <v>2775000</v>
      </c>
      <c r="G62" s="61">
        <v>7</v>
      </c>
      <c r="H62" s="61">
        <v>5</v>
      </c>
      <c r="I62" t="str">
        <f t="shared" si="0"/>
        <v>INDUS MOTORS COMPANY LIMITED</v>
      </c>
    </row>
    <row r="63" spans="2:18" x14ac:dyDescent="0.2">
      <c r="B63" s="61">
        <v>371</v>
      </c>
      <c r="C63" s="63" t="s">
        <v>97</v>
      </c>
      <c r="D63" s="66" t="s">
        <v>142</v>
      </c>
      <c r="E63" s="66" t="s">
        <v>143</v>
      </c>
      <c r="F63" s="67">
        <v>2835000</v>
      </c>
      <c r="G63" s="61">
        <v>7</v>
      </c>
      <c r="H63" s="61">
        <v>5</v>
      </c>
      <c r="I63" t="str">
        <f t="shared" si="0"/>
        <v>INDUS MOTORS COMPANY LIMITED</v>
      </c>
    </row>
    <row r="64" spans="2:18" x14ac:dyDescent="0.2">
      <c r="B64" s="61">
        <v>372</v>
      </c>
      <c r="C64" s="63" t="s">
        <v>97</v>
      </c>
      <c r="D64" s="66" t="s">
        <v>144</v>
      </c>
      <c r="E64" s="66" t="s">
        <v>145</v>
      </c>
      <c r="F64" s="67">
        <v>3005000</v>
      </c>
      <c r="G64" s="61">
        <v>7</v>
      </c>
      <c r="H64" s="61">
        <v>5</v>
      </c>
      <c r="I64" t="str">
        <f t="shared" si="0"/>
        <v>INDUS MOTORS COMPANY LIMITED</v>
      </c>
    </row>
    <row r="65" spans="2:9" x14ac:dyDescent="0.2">
      <c r="B65" s="65">
        <v>377</v>
      </c>
      <c r="C65" s="66" t="s">
        <v>124</v>
      </c>
      <c r="D65" s="81" t="s">
        <v>146</v>
      </c>
      <c r="E65" s="82" t="s">
        <v>147</v>
      </c>
      <c r="F65" s="83">
        <v>5102900</v>
      </c>
      <c r="G65" s="81">
        <v>7</v>
      </c>
      <c r="H65" s="81">
        <v>5</v>
      </c>
      <c r="I65" t="str">
        <f t="shared" si="0"/>
        <v>HYUNDAI NISHAT MOTOR (Private) LIMITED</v>
      </c>
    </row>
    <row r="66" spans="2:9" x14ac:dyDescent="0.2">
      <c r="B66" s="65">
        <v>378</v>
      </c>
      <c r="C66" s="66" t="s">
        <v>124</v>
      </c>
      <c r="D66" s="81" t="s">
        <v>148</v>
      </c>
      <c r="E66" s="82" t="s">
        <v>149</v>
      </c>
      <c r="F66" s="83">
        <v>5602900</v>
      </c>
      <c r="G66" s="81">
        <v>7</v>
      </c>
      <c r="H66" s="81">
        <v>5</v>
      </c>
      <c r="I66" t="str">
        <f t="shared" si="0"/>
        <v>HYUNDAI NISHAT MOTOR (Private) LIMITED</v>
      </c>
    </row>
    <row r="67" spans="2:9" x14ac:dyDescent="0.2">
      <c r="B67" s="61">
        <v>380</v>
      </c>
      <c r="C67" s="79" t="s">
        <v>111</v>
      </c>
      <c r="D67" s="76" t="s">
        <v>150</v>
      </c>
      <c r="E67" s="74" t="s">
        <v>151</v>
      </c>
      <c r="F67" s="80">
        <v>4405000</v>
      </c>
      <c r="G67" s="65">
        <v>7</v>
      </c>
      <c r="H67" s="65">
        <v>5</v>
      </c>
      <c r="I67" t="str">
        <f t="shared" si="0"/>
        <v>KIA LUCKY MOTORS PAKISTAN LIMITED</v>
      </c>
    </row>
    <row r="68" spans="2:9" x14ac:dyDescent="0.2">
      <c r="B68" s="61">
        <v>381</v>
      </c>
      <c r="C68" s="63" t="s">
        <v>72</v>
      </c>
      <c r="D68" s="63" t="s">
        <v>152</v>
      </c>
      <c r="E68" s="66" t="s">
        <v>153</v>
      </c>
      <c r="F68" s="67">
        <v>1198000</v>
      </c>
      <c r="G68" s="65">
        <v>5</v>
      </c>
      <c r="H68" s="69" t="s">
        <v>47</v>
      </c>
      <c r="I68" t="str">
        <f t="shared" si="0"/>
        <v>PAK SUZUKI MOTORS COMPANY LIMITED</v>
      </c>
    </row>
    <row r="69" spans="2:9" x14ac:dyDescent="0.2">
      <c r="B69" s="61">
        <v>382</v>
      </c>
      <c r="C69" s="73" t="s">
        <v>103</v>
      </c>
      <c r="D69" s="74" t="s">
        <v>154</v>
      </c>
      <c r="E69" s="73" t="s">
        <v>154</v>
      </c>
      <c r="F69" s="75">
        <v>1031000</v>
      </c>
      <c r="G69" s="74">
        <v>5</v>
      </c>
      <c r="H69" s="61" t="s">
        <v>47</v>
      </c>
      <c r="I69" t="str">
        <f t="shared" si="0"/>
        <v>MASTER MOTORS LIMITED</v>
      </c>
    </row>
    <row r="70" spans="2:9" x14ac:dyDescent="0.2">
      <c r="B70" s="61">
        <v>383</v>
      </c>
      <c r="C70" s="84" t="s">
        <v>155</v>
      </c>
      <c r="D70" s="76" t="s">
        <v>156</v>
      </c>
      <c r="E70" s="76" t="s">
        <v>157</v>
      </c>
      <c r="F70" s="78">
        <v>5490000</v>
      </c>
      <c r="G70" s="65">
        <v>7</v>
      </c>
      <c r="H70" s="65">
        <v>5</v>
      </c>
      <c r="I70" t="str">
        <f t="shared" ref="I70:I83" si="1">C70</f>
        <v>MG JW Automobile Pakistan PVT LTD</v>
      </c>
    </row>
    <row r="71" spans="2:9" x14ac:dyDescent="0.2">
      <c r="B71" s="61">
        <v>386</v>
      </c>
      <c r="C71" s="66" t="s">
        <v>158</v>
      </c>
      <c r="D71" s="63" t="s">
        <v>159</v>
      </c>
      <c r="E71" s="63" t="s">
        <v>160</v>
      </c>
      <c r="F71" s="68">
        <v>1975000</v>
      </c>
      <c r="G71" s="65">
        <v>7</v>
      </c>
      <c r="H71" s="65">
        <v>5</v>
      </c>
      <c r="I71" t="str">
        <f t="shared" si="1"/>
        <v>Al HAJ AUTO MOTIVE PRIVATE LIMITED</v>
      </c>
    </row>
    <row r="72" spans="2:9" x14ac:dyDescent="0.2">
      <c r="B72" s="61">
        <v>387</v>
      </c>
      <c r="C72" s="66" t="s">
        <v>158</v>
      </c>
      <c r="D72" s="63" t="s">
        <v>161</v>
      </c>
      <c r="E72" s="63" t="s">
        <v>162</v>
      </c>
      <c r="F72" s="68">
        <v>2125000</v>
      </c>
      <c r="G72" s="65">
        <v>7</v>
      </c>
      <c r="H72" s="65">
        <v>5</v>
      </c>
      <c r="I72" t="str">
        <f t="shared" si="1"/>
        <v>Al HAJ AUTO MOTIVE PRIVATE LIMITED</v>
      </c>
    </row>
    <row r="73" spans="2:9" x14ac:dyDescent="0.2">
      <c r="B73" s="61">
        <v>388</v>
      </c>
      <c r="C73" s="63" t="s">
        <v>163</v>
      </c>
      <c r="D73" s="63" t="s">
        <v>164</v>
      </c>
      <c r="E73" s="63" t="s">
        <v>165</v>
      </c>
      <c r="F73" s="68">
        <v>3899000</v>
      </c>
      <c r="G73" s="65">
        <v>7</v>
      </c>
      <c r="H73" s="65">
        <v>5</v>
      </c>
      <c r="I73" t="str">
        <f t="shared" si="1"/>
        <v>REGAL AUTOMOBILES INDUSTRIES</v>
      </c>
    </row>
    <row r="74" spans="2:9" x14ac:dyDescent="0.2">
      <c r="B74" s="61">
        <v>389</v>
      </c>
      <c r="C74" s="63" t="s">
        <v>163</v>
      </c>
      <c r="D74" s="63" t="s">
        <v>166</v>
      </c>
      <c r="E74" s="63" t="s">
        <v>167</v>
      </c>
      <c r="F74" s="68">
        <v>4149000</v>
      </c>
      <c r="G74" s="65">
        <v>7</v>
      </c>
      <c r="H74" s="65">
        <v>5</v>
      </c>
      <c r="I74" t="str">
        <f t="shared" si="1"/>
        <v>REGAL AUTOMOBILES INDUSTRIES</v>
      </c>
    </row>
    <row r="75" spans="2:9" x14ac:dyDescent="0.2">
      <c r="B75" s="61">
        <v>390</v>
      </c>
      <c r="C75" s="63" t="s">
        <v>163</v>
      </c>
      <c r="D75" s="63" t="s">
        <v>168</v>
      </c>
      <c r="E75" s="63" t="s">
        <v>169</v>
      </c>
      <c r="F75" s="68">
        <v>3899000</v>
      </c>
      <c r="G75" s="65">
        <v>7</v>
      </c>
      <c r="H75" s="65">
        <v>5</v>
      </c>
      <c r="I75" t="str">
        <f t="shared" si="1"/>
        <v>REGAL AUTOMOBILES INDUSTRIES</v>
      </c>
    </row>
    <row r="76" spans="2:9" x14ac:dyDescent="0.2">
      <c r="B76" s="61">
        <v>391</v>
      </c>
      <c r="C76" s="63" t="s">
        <v>163</v>
      </c>
      <c r="D76" s="63" t="s">
        <v>170</v>
      </c>
      <c r="E76" s="63" t="s">
        <v>171</v>
      </c>
      <c r="F76" s="68">
        <v>4549000</v>
      </c>
      <c r="G76" s="65">
        <v>7</v>
      </c>
      <c r="H76" s="65">
        <v>5</v>
      </c>
      <c r="I76" t="str">
        <f t="shared" si="1"/>
        <v>REGAL AUTOMOBILES INDUSTRIES</v>
      </c>
    </row>
    <row r="77" spans="2:9" x14ac:dyDescent="0.2">
      <c r="B77" s="61">
        <v>392</v>
      </c>
      <c r="C77" s="63" t="s">
        <v>163</v>
      </c>
      <c r="D77" s="63" t="s">
        <v>172</v>
      </c>
      <c r="E77" s="63" t="s">
        <v>173</v>
      </c>
      <c r="F77" s="68">
        <v>1149000</v>
      </c>
      <c r="G77" s="65">
        <v>5</v>
      </c>
      <c r="H77" s="65" t="s">
        <v>47</v>
      </c>
      <c r="I77" t="str">
        <f t="shared" si="1"/>
        <v>REGAL AUTOMOBILES INDUSTRIES</v>
      </c>
    </row>
    <row r="78" spans="2:9" x14ac:dyDescent="0.2">
      <c r="B78" s="61">
        <v>393</v>
      </c>
      <c r="C78" s="79" t="s">
        <v>111</v>
      </c>
      <c r="D78" s="63" t="s">
        <v>174</v>
      </c>
      <c r="E78" s="63" t="s">
        <v>175</v>
      </c>
      <c r="F78" s="68">
        <v>7039000</v>
      </c>
      <c r="G78" s="65">
        <v>7</v>
      </c>
      <c r="H78" s="65">
        <v>5</v>
      </c>
      <c r="I78" t="str">
        <f t="shared" si="1"/>
        <v>KIA LUCKY MOTORS PAKISTAN LIMITED</v>
      </c>
    </row>
    <row r="79" spans="2:9" x14ac:dyDescent="0.2">
      <c r="B79" s="61">
        <v>394</v>
      </c>
      <c r="C79" s="79" t="s">
        <v>111</v>
      </c>
      <c r="D79" s="63" t="s">
        <v>176</v>
      </c>
      <c r="E79" s="63" t="s">
        <v>177</v>
      </c>
      <c r="F79" s="68">
        <v>8039000</v>
      </c>
      <c r="G79" s="65">
        <v>7</v>
      </c>
      <c r="H79" s="65">
        <v>5</v>
      </c>
      <c r="I79" t="str">
        <f t="shared" si="1"/>
        <v>KIA LUCKY MOTORS PAKISTAN LIMITED</v>
      </c>
    </row>
    <row r="80" spans="2:9" x14ac:dyDescent="0.2">
      <c r="B80" s="61">
        <v>395</v>
      </c>
      <c r="C80" s="79" t="s">
        <v>111</v>
      </c>
      <c r="D80" s="63" t="s">
        <v>178</v>
      </c>
      <c r="E80" s="63" t="s">
        <v>179</v>
      </c>
      <c r="F80" s="68">
        <v>8439000</v>
      </c>
      <c r="G80" s="65">
        <v>7</v>
      </c>
      <c r="H80" s="65">
        <v>5</v>
      </c>
      <c r="I80" t="str">
        <f t="shared" si="1"/>
        <v>KIA LUCKY MOTORS PAKISTAN LIMITED</v>
      </c>
    </row>
    <row r="81" spans="2:9" x14ac:dyDescent="0.2">
      <c r="B81" s="65">
        <v>396</v>
      </c>
      <c r="C81" s="76" t="s">
        <v>103</v>
      </c>
      <c r="D81" s="66" t="s">
        <v>180</v>
      </c>
      <c r="E81" s="66" t="s">
        <v>181</v>
      </c>
      <c r="F81" s="67">
        <v>2399000</v>
      </c>
      <c r="G81" s="65">
        <v>7</v>
      </c>
      <c r="H81" s="65">
        <v>5</v>
      </c>
      <c r="I81" t="str">
        <f t="shared" si="1"/>
        <v>MASTER MOTORS LIMITED</v>
      </c>
    </row>
    <row r="82" spans="2:9" x14ac:dyDescent="0.2">
      <c r="B82" s="65">
        <v>397</v>
      </c>
      <c r="C82" s="76" t="s">
        <v>103</v>
      </c>
      <c r="D82" s="66" t="s">
        <v>182</v>
      </c>
      <c r="E82" s="66" t="s">
        <v>183</v>
      </c>
      <c r="F82" s="67">
        <v>2549000</v>
      </c>
      <c r="G82" s="65">
        <v>7</v>
      </c>
      <c r="H82" s="65">
        <v>5</v>
      </c>
      <c r="I82" t="str">
        <f t="shared" si="1"/>
        <v>MASTER MOTORS LIMITED</v>
      </c>
    </row>
    <row r="83" spans="2:9" x14ac:dyDescent="0.2">
      <c r="B83" s="65">
        <v>398</v>
      </c>
      <c r="C83" s="76" t="s">
        <v>103</v>
      </c>
      <c r="D83" s="66" t="s">
        <v>184</v>
      </c>
      <c r="E83" s="66" t="s">
        <v>185</v>
      </c>
      <c r="F83" s="67">
        <v>2199000</v>
      </c>
      <c r="G83" s="65">
        <v>7</v>
      </c>
      <c r="H83" s="65">
        <v>5</v>
      </c>
      <c r="I83" t="str">
        <f t="shared" si="1"/>
        <v>MASTER MOTORS LIMITED</v>
      </c>
    </row>
  </sheetData>
  <sortState ref="N23:Q37">
    <sortCondition ref="N23:N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zoomScale="80" zoomScaleNormal="80" workbookViewId="0">
      <selection activeCell="E13" sqref="E13:L13"/>
    </sheetView>
  </sheetViews>
  <sheetFormatPr defaultRowHeight="12.75" x14ac:dyDescent="0.2"/>
  <cols>
    <col min="2" max="2" width="30.140625" bestFit="1" customWidth="1"/>
  </cols>
  <sheetData>
    <row r="3" spans="2:2" x14ac:dyDescent="0.2">
      <c r="B3" s="86" t="s">
        <v>277</v>
      </c>
    </row>
    <row r="4" spans="2:2" x14ac:dyDescent="0.2">
      <c r="B4" s="51" t="s">
        <v>255</v>
      </c>
    </row>
    <row r="5" spans="2:2" x14ac:dyDescent="0.2">
      <c r="B5" s="51" t="s">
        <v>256</v>
      </c>
    </row>
    <row r="6" spans="2:2" x14ac:dyDescent="0.2">
      <c r="B6" s="51" t="s">
        <v>257</v>
      </c>
    </row>
    <row r="7" spans="2:2" ht="15" x14ac:dyDescent="0.3">
      <c r="B7" s="19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E13" sqref="E13:L13"/>
    </sheetView>
  </sheetViews>
  <sheetFormatPr defaultRowHeight="12.75" x14ac:dyDescent="0.2"/>
  <cols>
    <col min="2" max="2" width="16.42578125" style="15" bestFit="1" customWidth="1"/>
    <col min="3" max="3" width="11.28515625" style="6" bestFit="1" customWidth="1"/>
    <col min="4" max="4" width="10.28515625" style="6" bestFit="1" customWidth="1"/>
    <col min="5" max="5" width="27.42578125" style="6" bestFit="1" customWidth="1"/>
    <col min="6" max="6" width="10.28515625" style="6" bestFit="1" customWidth="1"/>
    <col min="7" max="7" width="14.42578125" style="6" bestFit="1" customWidth="1"/>
    <col min="8" max="8" width="9.85546875" style="6" bestFit="1" customWidth="1"/>
    <col min="9" max="9" width="9.140625" style="15"/>
    <col min="10" max="10" width="11.28515625" hidden="1" customWidth="1"/>
    <col min="11" max="11" width="10.7109375" hidden="1" customWidth="1"/>
  </cols>
  <sheetData>
    <row r="1" spans="1:12" x14ac:dyDescent="0.2">
      <c r="B1" s="13" t="s">
        <v>8</v>
      </c>
      <c r="C1" s="8">
        <v>497000</v>
      </c>
      <c r="E1" s="9" t="s">
        <v>14</v>
      </c>
      <c r="F1" s="8">
        <f>C1*$C$8</f>
        <v>24800.3</v>
      </c>
    </row>
    <row r="2" spans="1:12" x14ac:dyDescent="0.2">
      <c r="B2" s="13" t="s">
        <v>9</v>
      </c>
      <c r="C2" s="10">
        <v>0.1</v>
      </c>
      <c r="E2" s="9" t="s">
        <v>16</v>
      </c>
      <c r="F2" s="8">
        <f>C$1*90%*$C$8</f>
        <v>22320.27</v>
      </c>
    </row>
    <row r="3" spans="1:12" x14ac:dyDescent="0.2">
      <c r="B3" s="13" t="s">
        <v>10</v>
      </c>
      <c r="C3" s="8">
        <f>((C1*C2)-C1)*-1</f>
        <v>447300</v>
      </c>
      <c r="E3" s="9" t="s">
        <v>15</v>
      </c>
      <c r="F3" s="8">
        <f>C1*85%*$C$8</f>
        <v>21080.255000000001</v>
      </c>
      <c r="L3" s="1"/>
    </row>
    <row r="4" spans="1:12" x14ac:dyDescent="0.2">
      <c r="B4" s="13" t="s">
        <v>11</v>
      </c>
      <c r="C4" s="11">
        <v>0.17199999999999999</v>
      </c>
      <c r="E4" s="9" t="s">
        <v>17</v>
      </c>
      <c r="F4" s="8">
        <f>C1*80%*$C$8</f>
        <v>19840.240000000002</v>
      </c>
    </row>
    <row r="5" spans="1:12" x14ac:dyDescent="0.2">
      <c r="B5" s="13" t="s">
        <v>12</v>
      </c>
      <c r="C5" s="8">
        <v>84</v>
      </c>
      <c r="E5" s="9" t="s">
        <v>18</v>
      </c>
      <c r="F5" s="8">
        <f>C1*75%*$C$8</f>
        <v>18600.224999999999</v>
      </c>
    </row>
    <row r="6" spans="1:12" x14ac:dyDescent="0.2">
      <c r="B6" s="13" t="s">
        <v>13</v>
      </c>
      <c r="C6" s="8">
        <f>C1-C3</f>
        <v>49700</v>
      </c>
      <c r="E6" s="9" t="s">
        <v>19</v>
      </c>
      <c r="F6" s="8">
        <f>C1*70%*$C$8</f>
        <v>17360.21</v>
      </c>
    </row>
    <row r="7" spans="1:12" x14ac:dyDescent="0.2">
      <c r="B7" s="13" t="s">
        <v>21</v>
      </c>
      <c r="C7" s="8">
        <f>C6+F1+4000+I10</f>
        <v>89553.032007674148</v>
      </c>
      <c r="E7" s="9" t="s">
        <v>20</v>
      </c>
      <c r="F7" s="8">
        <f>C1*65%*$C$8</f>
        <v>16120.195</v>
      </c>
    </row>
    <row r="8" spans="1:12" x14ac:dyDescent="0.2">
      <c r="B8" s="13" t="s">
        <v>22</v>
      </c>
      <c r="C8" s="17">
        <v>4.99E-2</v>
      </c>
      <c r="E8" s="8"/>
      <c r="F8" s="8"/>
    </row>
    <row r="9" spans="1:12" x14ac:dyDescent="0.2">
      <c r="A9" s="2" t="s">
        <v>5</v>
      </c>
      <c r="B9" s="13" t="s">
        <v>1</v>
      </c>
      <c r="C9" s="9" t="s">
        <v>7</v>
      </c>
      <c r="D9" s="9" t="s">
        <v>2</v>
      </c>
      <c r="E9" s="9" t="s">
        <v>3</v>
      </c>
      <c r="F9" s="9" t="s">
        <v>1</v>
      </c>
      <c r="G9" s="9" t="s">
        <v>4</v>
      </c>
      <c r="H9" s="7" t="s">
        <v>6</v>
      </c>
      <c r="I9" s="16" t="s">
        <v>0</v>
      </c>
      <c r="J9" s="5" t="s">
        <v>1</v>
      </c>
      <c r="K9" s="5" t="s">
        <v>2</v>
      </c>
    </row>
    <row r="10" spans="1:12" x14ac:dyDescent="0.2">
      <c r="A10" s="3">
        <v>1</v>
      </c>
      <c r="B10" s="14">
        <f>C3</f>
        <v>447300</v>
      </c>
      <c r="C10" s="8">
        <f>PMT(C$4/12,C$5,-C$3)</f>
        <v>9192.7095076741425</v>
      </c>
      <c r="D10" s="8">
        <f>($C$4/12)*B10</f>
        <v>6411.2999999999993</v>
      </c>
      <c r="E10" s="8">
        <f>D10</f>
        <v>6411.2999999999993</v>
      </c>
      <c r="F10" s="8">
        <f>C10-D10</f>
        <v>2781.4095076741432</v>
      </c>
      <c r="G10" s="8">
        <f>F10</f>
        <v>2781.4095076741432</v>
      </c>
      <c r="H10" s="8">
        <f t="shared" ref="H10:H21" si="0">F$2/12</f>
        <v>1860.0225</v>
      </c>
      <c r="I10" s="14">
        <f>C10+H10</f>
        <v>11052.732007674142</v>
      </c>
      <c r="J10" s="4">
        <f>PPMT($C$4/12,A10,$C$5,-C$3)</f>
        <v>2781.4095076741437</v>
      </c>
      <c r="K10" s="4">
        <f>C10-J10</f>
        <v>6411.2999999999993</v>
      </c>
    </row>
    <row r="11" spans="1:12" x14ac:dyDescent="0.2">
      <c r="A11" s="3">
        <f>A10+1</f>
        <v>2</v>
      </c>
      <c r="B11" s="14">
        <f>B10-F10</f>
        <v>444518.59049232583</v>
      </c>
      <c r="C11" s="8">
        <f t="shared" ref="C11:C74" si="1">PMT(C$4/12,C$5,-C$3)</f>
        <v>9192.7095076741425</v>
      </c>
      <c r="D11" s="8">
        <f t="shared" ref="D11:D74" si="2">($C$4/12)*B11</f>
        <v>6371.4331303900026</v>
      </c>
      <c r="E11" s="8">
        <f>E10+D11</f>
        <v>12782.733130390003</v>
      </c>
      <c r="F11" s="8">
        <f t="shared" ref="F11:F74" si="3">C11-D11</f>
        <v>2821.2763772841399</v>
      </c>
      <c r="G11" s="8">
        <f>G10+F11</f>
        <v>5602.6858849582832</v>
      </c>
      <c r="H11" s="8">
        <f t="shared" si="0"/>
        <v>1860.0225</v>
      </c>
      <c r="I11" s="14">
        <f t="shared" ref="I11:I74" si="4">C11+H11</f>
        <v>11052.732007674142</v>
      </c>
      <c r="J11" s="4">
        <f t="shared" ref="J11:J74" si="5">PPMT($C$4/12,A11,$C$5,-C$3)</f>
        <v>2821.2763772841399</v>
      </c>
      <c r="K11" s="4">
        <f t="shared" ref="K11:K74" si="6">C11-J11</f>
        <v>6371.4331303900026</v>
      </c>
    </row>
    <row r="12" spans="1:12" x14ac:dyDescent="0.2">
      <c r="A12" s="3">
        <f t="shared" ref="A12:A75" si="7">A11+1</f>
        <v>3</v>
      </c>
      <c r="B12" s="14">
        <f t="shared" ref="B12:B75" si="8">B11-F11</f>
        <v>441697.31411504169</v>
      </c>
      <c r="C12" s="8">
        <f t="shared" si="1"/>
        <v>9192.7095076741425</v>
      </c>
      <c r="D12" s="8">
        <f t="shared" si="2"/>
        <v>6330.9948356489303</v>
      </c>
      <c r="E12" s="8">
        <f t="shared" ref="E12:E75" si="9">E11+D12</f>
        <v>19113.727966038932</v>
      </c>
      <c r="F12" s="8">
        <f t="shared" si="3"/>
        <v>2861.7146720252122</v>
      </c>
      <c r="G12" s="8">
        <f t="shared" ref="G12:G75" si="10">G11+F12</f>
        <v>8464.4005569834953</v>
      </c>
      <c r="H12" s="8">
        <f t="shared" si="0"/>
        <v>1860.0225</v>
      </c>
      <c r="I12" s="14">
        <f t="shared" si="4"/>
        <v>11052.732007674142</v>
      </c>
      <c r="J12" s="4">
        <f t="shared" si="5"/>
        <v>2861.7146720252122</v>
      </c>
      <c r="K12" s="4">
        <f t="shared" si="6"/>
        <v>6330.9948356489303</v>
      </c>
      <c r="L12" s="12">
        <f>SUM(C10:C17)</f>
        <v>73541.676061393126</v>
      </c>
    </row>
    <row r="13" spans="1:12" x14ac:dyDescent="0.2">
      <c r="A13" s="3">
        <f t="shared" si="7"/>
        <v>4</v>
      </c>
      <c r="B13" s="14">
        <f t="shared" si="8"/>
        <v>438835.59944301646</v>
      </c>
      <c r="C13" s="8">
        <f t="shared" si="1"/>
        <v>9192.7095076741425</v>
      </c>
      <c r="D13" s="8">
        <f t="shared" si="2"/>
        <v>6289.9769253499016</v>
      </c>
      <c r="E13" s="8">
        <f t="shared" si="9"/>
        <v>25403.704891388836</v>
      </c>
      <c r="F13" s="8">
        <f t="shared" si="3"/>
        <v>2902.7325823242409</v>
      </c>
      <c r="G13" s="8">
        <f t="shared" si="10"/>
        <v>11367.133139307736</v>
      </c>
      <c r="H13" s="8">
        <f t="shared" si="0"/>
        <v>1860.0225</v>
      </c>
      <c r="I13" s="14">
        <f t="shared" si="4"/>
        <v>11052.732007674142</v>
      </c>
      <c r="J13" s="4">
        <f t="shared" si="5"/>
        <v>2902.7325823242404</v>
      </c>
      <c r="K13" s="4">
        <f t="shared" si="6"/>
        <v>6289.9769253499016</v>
      </c>
    </row>
    <row r="14" spans="1:12" x14ac:dyDescent="0.2">
      <c r="A14" s="3">
        <f t="shared" si="7"/>
        <v>5</v>
      </c>
      <c r="B14" s="14">
        <f t="shared" si="8"/>
        <v>435932.86686069221</v>
      </c>
      <c r="C14" s="8">
        <f t="shared" si="1"/>
        <v>9192.7095076741425</v>
      </c>
      <c r="D14" s="8">
        <f t="shared" si="2"/>
        <v>6248.371091669921</v>
      </c>
      <c r="E14" s="8">
        <f t="shared" si="9"/>
        <v>31652.075983058756</v>
      </c>
      <c r="F14" s="8">
        <f t="shared" si="3"/>
        <v>2944.3384160042215</v>
      </c>
      <c r="G14" s="8">
        <f t="shared" si="10"/>
        <v>14311.471555311957</v>
      </c>
      <c r="H14" s="8">
        <f t="shared" si="0"/>
        <v>1860.0225</v>
      </c>
      <c r="I14" s="14">
        <f t="shared" si="4"/>
        <v>11052.732007674142</v>
      </c>
      <c r="J14" s="4">
        <f t="shared" si="5"/>
        <v>2944.3384160042206</v>
      </c>
      <c r="K14" s="4">
        <f t="shared" si="6"/>
        <v>6248.371091669922</v>
      </c>
    </row>
    <row r="15" spans="1:12" x14ac:dyDescent="0.2">
      <c r="A15" s="3">
        <f t="shared" si="7"/>
        <v>6</v>
      </c>
      <c r="B15" s="14">
        <f t="shared" si="8"/>
        <v>432988.52844468801</v>
      </c>
      <c r="C15" s="8">
        <f t="shared" si="1"/>
        <v>9192.7095076741425</v>
      </c>
      <c r="D15" s="8">
        <f t="shared" si="2"/>
        <v>6206.1689077071942</v>
      </c>
      <c r="E15" s="8">
        <f t="shared" si="9"/>
        <v>37858.244890765949</v>
      </c>
      <c r="F15" s="8">
        <f t="shared" si="3"/>
        <v>2986.5405999669483</v>
      </c>
      <c r="G15" s="8">
        <f t="shared" si="10"/>
        <v>17298.012155278906</v>
      </c>
      <c r="H15" s="8">
        <f t="shared" si="0"/>
        <v>1860.0225</v>
      </c>
      <c r="I15" s="14">
        <f t="shared" si="4"/>
        <v>11052.732007674142</v>
      </c>
      <c r="J15" s="4">
        <f t="shared" si="5"/>
        <v>2986.5405999669483</v>
      </c>
      <c r="K15" s="4">
        <f t="shared" si="6"/>
        <v>6206.1689077071942</v>
      </c>
      <c r="L15" s="12"/>
    </row>
    <row r="16" spans="1:12" x14ac:dyDescent="0.2">
      <c r="A16" s="3">
        <f t="shared" si="7"/>
        <v>7</v>
      </c>
      <c r="B16" s="14">
        <f t="shared" si="8"/>
        <v>430001.98784472106</v>
      </c>
      <c r="C16" s="8">
        <f t="shared" si="1"/>
        <v>9192.7095076741425</v>
      </c>
      <c r="D16" s="8">
        <f t="shared" si="2"/>
        <v>6163.3618257743346</v>
      </c>
      <c r="E16" s="8">
        <f t="shared" si="9"/>
        <v>44021.606716540286</v>
      </c>
      <c r="F16" s="8">
        <f t="shared" si="3"/>
        <v>3029.3476818998079</v>
      </c>
      <c r="G16" s="8">
        <f t="shared" si="10"/>
        <v>20327.359837178716</v>
      </c>
      <c r="H16" s="8">
        <f t="shared" si="0"/>
        <v>1860.0225</v>
      </c>
      <c r="I16" s="14">
        <f t="shared" si="4"/>
        <v>11052.732007674142</v>
      </c>
      <c r="J16" s="4">
        <f t="shared" si="5"/>
        <v>3029.3476818998079</v>
      </c>
      <c r="K16" s="4">
        <f t="shared" si="6"/>
        <v>6163.3618257743346</v>
      </c>
      <c r="L16" s="12"/>
    </row>
    <row r="17" spans="1:11" x14ac:dyDescent="0.2">
      <c r="A17" s="3">
        <f t="shared" si="7"/>
        <v>8</v>
      </c>
      <c r="B17" s="14">
        <f t="shared" si="8"/>
        <v>426972.64016282128</v>
      </c>
      <c r="C17" s="8">
        <f t="shared" si="1"/>
        <v>9192.7095076741425</v>
      </c>
      <c r="D17" s="8">
        <f t="shared" si="2"/>
        <v>6119.9411756671043</v>
      </c>
      <c r="E17" s="8">
        <f t="shared" si="9"/>
        <v>50141.547892207389</v>
      </c>
      <c r="F17" s="8">
        <f t="shared" si="3"/>
        <v>3072.7683320070382</v>
      </c>
      <c r="G17" s="8">
        <f t="shared" si="10"/>
        <v>23400.128169185755</v>
      </c>
      <c r="H17" s="8">
        <f t="shared" si="0"/>
        <v>1860.0225</v>
      </c>
      <c r="I17" s="14">
        <f t="shared" si="4"/>
        <v>11052.732007674142</v>
      </c>
      <c r="J17" s="4">
        <f t="shared" si="5"/>
        <v>3072.7683320070382</v>
      </c>
      <c r="K17" s="4">
        <f t="shared" si="6"/>
        <v>6119.9411756671043</v>
      </c>
    </row>
    <row r="18" spans="1:11" x14ac:dyDescent="0.2">
      <c r="A18" s="3">
        <f t="shared" si="7"/>
        <v>9</v>
      </c>
      <c r="B18" s="14">
        <f t="shared" si="8"/>
        <v>423899.87183081423</v>
      </c>
      <c r="C18" s="8">
        <f t="shared" si="1"/>
        <v>9192.7095076741425</v>
      </c>
      <c r="D18" s="8">
        <f t="shared" si="2"/>
        <v>6075.8981629083364</v>
      </c>
      <c r="E18" s="8">
        <f t="shared" si="9"/>
        <v>56217.446055115724</v>
      </c>
      <c r="F18" s="8">
        <f t="shared" si="3"/>
        <v>3116.8113447658061</v>
      </c>
      <c r="G18" s="8">
        <f t="shared" si="10"/>
        <v>26516.939513951562</v>
      </c>
      <c r="H18" s="8">
        <f t="shared" si="0"/>
        <v>1860.0225</v>
      </c>
      <c r="I18" s="14">
        <f t="shared" si="4"/>
        <v>11052.732007674142</v>
      </c>
      <c r="J18" s="4">
        <f t="shared" si="5"/>
        <v>3116.8113447658056</v>
      </c>
      <c r="K18" s="4">
        <f t="shared" si="6"/>
        <v>6075.8981629083373</v>
      </c>
    </row>
    <row r="19" spans="1:11" x14ac:dyDescent="0.2">
      <c r="A19" s="3">
        <f t="shared" si="7"/>
        <v>10</v>
      </c>
      <c r="B19" s="14">
        <f t="shared" si="8"/>
        <v>420783.0604860484</v>
      </c>
      <c r="C19" s="8">
        <f t="shared" si="1"/>
        <v>9192.7095076741425</v>
      </c>
      <c r="D19" s="8">
        <f t="shared" si="2"/>
        <v>6031.2238669666931</v>
      </c>
      <c r="E19" s="8">
        <f t="shared" si="9"/>
        <v>62248.669922082416</v>
      </c>
      <c r="F19" s="8">
        <f t="shared" si="3"/>
        <v>3161.4856407074494</v>
      </c>
      <c r="G19" s="8">
        <f t="shared" si="10"/>
        <v>29678.425154659009</v>
      </c>
      <c r="H19" s="8">
        <f t="shared" si="0"/>
        <v>1860.0225</v>
      </c>
      <c r="I19" s="14">
        <f t="shared" si="4"/>
        <v>11052.732007674142</v>
      </c>
      <c r="J19" s="4">
        <f t="shared" si="5"/>
        <v>3161.4856407074494</v>
      </c>
      <c r="K19" s="4">
        <f t="shared" si="6"/>
        <v>6031.2238669666931</v>
      </c>
    </row>
    <row r="20" spans="1:11" x14ac:dyDescent="0.2">
      <c r="A20" s="3">
        <f t="shared" si="7"/>
        <v>11</v>
      </c>
      <c r="B20" s="14">
        <f t="shared" si="8"/>
        <v>417621.57484534098</v>
      </c>
      <c r="C20" s="8">
        <f t="shared" si="1"/>
        <v>9192.7095076741425</v>
      </c>
      <c r="D20" s="8">
        <f t="shared" si="2"/>
        <v>5985.9092394498866</v>
      </c>
      <c r="E20" s="8">
        <f t="shared" si="9"/>
        <v>68234.579161532296</v>
      </c>
      <c r="F20" s="8">
        <f t="shared" si="3"/>
        <v>3206.8002682242559</v>
      </c>
      <c r="G20" s="8">
        <f t="shared" si="10"/>
        <v>32885.225422883268</v>
      </c>
      <c r="H20" s="8">
        <f t="shared" si="0"/>
        <v>1860.0225</v>
      </c>
      <c r="I20" s="14">
        <f t="shared" si="4"/>
        <v>11052.732007674142</v>
      </c>
      <c r="J20" s="4">
        <f t="shared" si="5"/>
        <v>3206.8002682242559</v>
      </c>
      <c r="K20" s="4">
        <f t="shared" si="6"/>
        <v>5985.9092394498866</v>
      </c>
    </row>
    <row r="21" spans="1:11" x14ac:dyDescent="0.2">
      <c r="A21" s="3">
        <f t="shared" si="7"/>
        <v>12</v>
      </c>
      <c r="B21" s="14">
        <f t="shared" si="8"/>
        <v>414414.77457711671</v>
      </c>
      <c r="C21" s="8">
        <f t="shared" si="1"/>
        <v>9192.7095076741425</v>
      </c>
      <c r="D21" s="8">
        <f t="shared" si="2"/>
        <v>5939.9451022720059</v>
      </c>
      <c r="E21" s="8">
        <f t="shared" si="9"/>
        <v>74174.524263804298</v>
      </c>
      <c r="F21" s="8">
        <f t="shared" si="3"/>
        <v>3252.7644054021366</v>
      </c>
      <c r="G21" s="8">
        <f t="shared" si="10"/>
        <v>36137.989828285405</v>
      </c>
      <c r="H21" s="8">
        <f t="shared" si="0"/>
        <v>1860.0225</v>
      </c>
      <c r="I21" s="14">
        <f t="shared" si="4"/>
        <v>11052.732007674142</v>
      </c>
      <c r="J21" s="4">
        <f t="shared" si="5"/>
        <v>3252.7644054021366</v>
      </c>
      <c r="K21" s="4">
        <f t="shared" si="6"/>
        <v>5939.9451022720059</v>
      </c>
    </row>
    <row r="22" spans="1:11" x14ac:dyDescent="0.2">
      <c r="A22" s="3">
        <f t="shared" si="7"/>
        <v>13</v>
      </c>
      <c r="B22" s="14">
        <f t="shared" si="8"/>
        <v>411162.01017171459</v>
      </c>
      <c r="C22" s="8">
        <f t="shared" si="1"/>
        <v>9192.7095076741425</v>
      </c>
      <c r="D22" s="8">
        <f t="shared" si="2"/>
        <v>5893.3221457945747</v>
      </c>
      <c r="E22" s="8">
        <f t="shared" si="9"/>
        <v>80067.846409598875</v>
      </c>
      <c r="F22" s="8">
        <f t="shared" si="3"/>
        <v>3299.3873618795678</v>
      </c>
      <c r="G22" s="8">
        <f t="shared" si="10"/>
        <v>39437.377190164974</v>
      </c>
      <c r="H22" s="8">
        <f t="shared" ref="H22:H33" si="11">F$3/12</f>
        <v>1756.6879166666668</v>
      </c>
      <c r="I22" s="14">
        <f t="shared" si="4"/>
        <v>10949.397424340808</v>
      </c>
      <c r="J22" s="4">
        <f t="shared" si="5"/>
        <v>3299.3873618795669</v>
      </c>
      <c r="K22" s="4">
        <f t="shared" si="6"/>
        <v>5893.3221457945756</v>
      </c>
    </row>
    <row r="23" spans="1:11" x14ac:dyDescent="0.2">
      <c r="A23" s="3">
        <f t="shared" si="7"/>
        <v>14</v>
      </c>
      <c r="B23" s="14">
        <f t="shared" si="8"/>
        <v>407862.62280983501</v>
      </c>
      <c r="C23" s="8">
        <f t="shared" si="1"/>
        <v>9192.7095076741425</v>
      </c>
      <c r="D23" s="8">
        <f t="shared" si="2"/>
        <v>5846.0309269409681</v>
      </c>
      <c r="E23" s="8">
        <f t="shared" si="9"/>
        <v>85913.877336539837</v>
      </c>
      <c r="F23" s="8">
        <f t="shared" si="3"/>
        <v>3346.6785807331744</v>
      </c>
      <c r="G23" s="8">
        <f t="shared" si="10"/>
        <v>42784.055770898151</v>
      </c>
      <c r="H23" s="8">
        <f t="shared" si="11"/>
        <v>1756.6879166666668</v>
      </c>
      <c r="I23" s="14">
        <f t="shared" si="4"/>
        <v>10949.397424340808</v>
      </c>
      <c r="J23" s="4">
        <f t="shared" si="5"/>
        <v>3346.6785807331748</v>
      </c>
      <c r="K23" s="4">
        <f t="shared" si="6"/>
        <v>5846.0309269409681</v>
      </c>
    </row>
    <row r="24" spans="1:11" x14ac:dyDescent="0.2">
      <c r="A24" s="3">
        <f t="shared" si="7"/>
        <v>15</v>
      </c>
      <c r="B24" s="14">
        <f t="shared" si="8"/>
        <v>404515.94422910182</v>
      </c>
      <c r="C24" s="8">
        <f t="shared" si="1"/>
        <v>9192.7095076741425</v>
      </c>
      <c r="D24" s="8">
        <f t="shared" si="2"/>
        <v>5798.0618672837918</v>
      </c>
      <c r="E24" s="8">
        <f t="shared" si="9"/>
        <v>91711.939203823626</v>
      </c>
      <c r="F24" s="8">
        <f t="shared" si="3"/>
        <v>3394.6476403903507</v>
      </c>
      <c r="G24" s="8">
        <f t="shared" si="10"/>
        <v>46178.703411288501</v>
      </c>
      <c r="H24" s="8">
        <f t="shared" si="11"/>
        <v>1756.6879166666668</v>
      </c>
      <c r="I24" s="14">
        <f t="shared" si="4"/>
        <v>10949.397424340808</v>
      </c>
      <c r="J24" s="4">
        <f t="shared" si="5"/>
        <v>3394.6476403903498</v>
      </c>
      <c r="K24" s="4">
        <f t="shared" si="6"/>
        <v>5798.0618672837927</v>
      </c>
    </row>
    <row r="25" spans="1:11" x14ac:dyDescent="0.2">
      <c r="A25" s="3">
        <f t="shared" si="7"/>
        <v>16</v>
      </c>
      <c r="B25" s="14">
        <f t="shared" si="8"/>
        <v>401121.29658871144</v>
      </c>
      <c r="C25" s="8">
        <f t="shared" si="1"/>
        <v>9192.7095076741425</v>
      </c>
      <c r="D25" s="8">
        <f t="shared" si="2"/>
        <v>5749.4052511048631</v>
      </c>
      <c r="E25" s="8">
        <f t="shared" si="9"/>
        <v>97461.34445492849</v>
      </c>
      <c r="F25" s="8">
        <f t="shared" si="3"/>
        <v>3443.3042565692795</v>
      </c>
      <c r="G25" s="8">
        <f t="shared" si="10"/>
        <v>49622.007667857783</v>
      </c>
      <c r="H25" s="8">
        <f t="shared" si="11"/>
        <v>1756.6879166666668</v>
      </c>
      <c r="I25" s="14">
        <f t="shared" si="4"/>
        <v>10949.397424340808</v>
      </c>
      <c r="J25" s="4">
        <f t="shared" si="5"/>
        <v>3443.3042565692786</v>
      </c>
      <c r="K25" s="4">
        <f t="shared" si="6"/>
        <v>5749.405251104864</v>
      </c>
    </row>
    <row r="26" spans="1:11" x14ac:dyDescent="0.2">
      <c r="A26" s="3">
        <f t="shared" si="7"/>
        <v>17</v>
      </c>
      <c r="B26" s="14">
        <f t="shared" si="8"/>
        <v>397677.99233214214</v>
      </c>
      <c r="C26" s="8">
        <f t="shared" si="1"/>
        <v>9192.7095076741425</v>
      </c>
      <c r="D26" s="8">
        <f t="shared" si="2"/>
        <v>5700.0512234273701</v>
      </c>
      <c r="E26" s="8">
        <f t="shared" si="9"/>
        <v>103161.39567835585</v>
      </c>
      <c r="F26" s="8">
        <f t="shared" si="3"/>
        <v>3492.6582842467724</v>
      </c>
      <c r="G26" s="8">
        <f t="shared" si="10"/>
        <v>53114.665952104551</v>
      </c>
      <c r="H26" s="8">
        <f t="shared" si="11"/>
        <v>1756.6879166666668</v>
      </c>
      <c r="I26" s="14">
        <f t="shared" si="4"/>
        <v>10949.397424340808</v>
      </c>
      <c r="J26" s="4">
        <f t="shared" si="5"/>
        <v>3492.6582842467715</v>
      </c>
      <c r="K26" s="4">
        <f t="shared" si="6"/>
        <v>5700.051223427371</v>
      </c>
    </row>
    <row r="27" spans="1:11" x14ac:dyDescent="0.2">
      <c r="A27" s="3">
        <f t="shared" si="7"/>
        <v>18</v>
      </c>
      <c r="B27" s="14">
        <f t="shared" si="8"/>
        <v>394185.33404789539</v>
      </c>
      <c r="C27" s="8">
        <f t="shared" si="1"/>
        <v>9192.7095076741425</v>
      </c>
      <c r="D27" s="8">
        <f t="shared" si="2"/>
        <v>5649.9897880198332</v>
      </c>
      <c r="E27" s="8">
        <f t="shared" si="9"/>
        <v>108811.38546637568</v>
      </c>
      <c r="F27" s="8">
        <f t="shared" si="3"/>
        <v>3542.7197196543093</v>
      </c>
      <c r="G27" s="8">
        <f t="shared" si="10"/>
        <v>56657.385671758864</v>
      </c>
      <c r="H27" s="8">
        <f t="shared" si="11"/>
        <v>1756.6879166666668</v>
      </c>
      <c r="I27" s="14">
        <f t="shared" si="4"/>
        <v>10949.397424340808</v>
      </c>
      <c r="J27" s="4">
        <f t="shared" si="5"/>
        <v>3542.7197196543084</v>
      </c>
      <c r="K27" s="4">
        <f t="shared" si="6"/>
        <v>5649.9897880198341</v>
      </c>
    </row>
    <row r="28" spans="1:11" x14ac:dyDescent="0.2">
      <c r="A28" s="3">
        <f t="shared" si="7"/>
        <v>19</v>
      </c>
      <c r="B28" s="14">
        <f t="shared" si="8"/>
        <v>390642.61432824109</v>
      </c>
      <c r="C28" s="8">
        <f t="shared" si="1"/>
        <v>9192.7095076741425</v>
      </c>
      <c r="D28" s="8">
        <f t="shared" si="2"/>
        <v>5599.2108053714546</v>
      </c>
      <c r="E28" s="8">
        <f t="shared" si="9"/>
        <v>114410.59627174714</v>
      </c>
      <c r="F28" s="8">
        <f t="shared" si="3"/>
        <v>3593.4987023026879</v>
      </c>
      <c r="G28" s="8">
        <f t="shared" si="10"/>
        <v>60250.884374061556</v>
      </c>
      <c r="H28" s="8">
        <f t="shared" si="11"/>
        <v>1756.6879166666668</v>
      </c>
      <c r="I28" s="14">
        <f t="shared" si="4"/>
        <v>10949.397424340808</v>
      </c>
      <c r="J28" s="4">
        <f t="shared" si="5"/>
        <v>3593.498702302687</v>
      </c>
      <c r="K28" s="4">
        <f t="shared" si="6"/>
        <v>5599.2108053714555</v>
      </c>
    </row>
    <row r="29" spans="1:11" x14ac:dyDescent="0.2">
      <c r="A29" s="3">
        <f t="shared" si="7"/>
        <v>20</v>
      </c>
      <c r="B29" s="14">
        <f t="shared" si="8"/>
        <v>387049.1156259384</v>
      </c>
      <c r="C29" s="8">
        <f t="shared" si="1"/>
        <v>9192.7095076741425</v>
      </c>
      <c r="D29" s="8">
        <f t="shared" si="2"/>
        <v>5547.7039906384498</v>
      </c>
      <c r="E29" s="8">
        <f t="shared" si="9"/>
        <v>119958.30026238559</v>
      </c>
      <c r="F29" s="8">
        <f t="shared" si="3"/>
        <v>3645.0055170356927</v>
      </c>
      <c r="G29" s="8">
        <f t="shared" si="10"/>
        <v>63895.889891097249</v>
      </c>
      <c r="H29" s="8">
        <f t="shared" si="11"/>
        <v>1756.6879166666668</v>
      </c>
      <c r="I29" s="14">
        <f t="shared" si="4"/>
        <v>10949.397424340808</v>
      </c>
      <c r="J29" s="4">
        <f t="shared" si="5"/>
        <v>3645.0055170356918</v>
      </c>
      <c r="K29" s="4">
        <f t="shared" si="6"/>
        <v>5547.7039906384507</v>
      </c>
    </row>
    <row r="30" spans="1:11" x14ac:dyDescent="0.2">
      <c r="A30" s="3">
        <f t="shared" si="7"/>
        <v>21</v>
      </c>
      <c r="B30" s="14">
        <f t="shared" si="8"/>
        <v>383404.11010890274</v>
      </c>
      <c r="C30" s="8">
        <f t="shared" si="1"/>
        <v>9192.7095076741425</v>
      </c>
      <c r="D30" s="8">
        <f t="shared" si="2"/>
        <v>5495.4589115609388</v>
      </c>
      <c r="E30" s="8">
        <f t="shared" si="9"/>
        <v>125453.75917394653</v>
      </c>
      <c r="F30" s="8">
        <f t="shared" si="3"/>
        <v>3697.2505961132038</v>
      </c>
      <c r="G30" s="8">
        <f t="shared" si="10"/>
        <v>67593.140487210447</v>
      </c>
      <c r="H30" s="8">
        <f t="shared" si="11"/>
        <v>1756.6879166666668</v>
      </c>
      <c r="I30" s="14">
        <f t="shared" si="4"/>
        <v>10949.397424340808</v>
      </c>
      <c r="J30" s="4">
        <f t="shared" si="5"/>
        <v>3697.2505961132033</v>
      </c>
      <c r="K30" s="4">
        <f t="shared" si="6"/>
        <v>5495.4589115609397</v>
      </c>
    </row>
    <row r="31" spans="1:11" x14ac:dyDescent="0.2">
      <c r="A31" s="3">
        <f t="shared" si="7"/>
        <v>22</v>
      </c>
      <c r="B31" s="14">
        <f t="shared" si="8"/>
        <v>379706.85951278952</v>
      </c>
      <c r="C31" s="8">
        <f t="shared" si="1"/>
        <v>9192.7095076741425</v>
      </c>
      <c r="D31" s="8">
        <f t="shared" si="2"/>
        <v>5442.4649863499826</v>
      </c>
      <c r="E31" s="8">
        <f t="shared" si="9"/>
        <v>130896.22416029651</v>
      </c>
      <c r="F31" s="8">
        <f t="shared" si="3"/>
        <v>3750.2445213241599</v>
      </c>
      <c r="G31" s="8">
        <f t="shared" si="10"/>
        <v>71343.385008534606</v>
      </c>
      <c r="H31" s="8">
        <f t="shared" si="11"/>
        <v>1756.6879166666668</v>
      </c>
      <c r="I31" s="14">
        <f t="shared" si="4"/>
        <v>10949.397424340808</v>
      </c>
      <c r="J31" s="4">
        <f t="shared" si="5"/>
        <v>3750.2445213241595</v>
      </c>
      <c r="K31" s="4">
        <f t="shared" si="6"/>
        <v>5442.4649863499835</v>
      </c>
    </row>
    <row r="32" spans="1:11" x14ac:dyDescent="0.2">
      <c r="A32" s="3">
        <f t="shared" si="7"/>
        <v>23</v>
      </c>
      <c r="B32" s="14">
        <f t="shared" si="8"/>
        <v>375956.61499146535</v>
      </c>
      <c r="C32" s="8">
        <f t="shared" si="1"/>
        <v>9192.7095076741425</v>
      </c>
      <c r="D32" s="8">
        <f t="shared" si="2"/>
        <v>5388.7114815443365</v>
      </c>
      <c r="E32" s="8">
        <f t="shared" si="9"/>
        <v>136284.93564184086</v>
      </c>
      <c r="F32" s="8">
        <f t="shared" si="3"/>
        <v>3803.998026129806</v>
      </c>
      <c r="G32" s="8">
        <f t="shared" si="10"/>
        <v>75147.38303466441</v>
      </c>
      <c r="H32" s="8">
        <f t="shared" si="11"/>
        <v>1756.6879166666668</v>
      </c>
      <c r="I32" s="14">
        <f t="shared" si="4"/>
        <v>10949.397424340808</v>
      </c>
      <c r="J32" s="4">
        <f t="shared" si="5"/>
        <v>3803.9980261298056</v>
      </c>
      <c r="K32" s="4">
        <f t="shared" si="6"/>
        <v>5388.7114815443365</v>
      </c>
    </row>
    <row r="33" spans="1:11" x14ac:dyDescent="0.2">
      <c r="A33" s="3">
        <f t="shared" si="7"/>
        <v>24</v>
      </c>
      <c r="B33" s="14">
        <f t="shared" si="8"/>
        <v>372152.61696533556</v>
      </c>
      <c r="C33" s="8">
        <f t="shared" si="1"/>
        <v>9192.7095076741425</v>
      </c>
      <c r="D33" s="8">
        <f t="shared" si="2"/>
        <v>5334.1875098364753</v>
      </c>
      <c r="E33" s="8">
        <f t="shared" si="9"/>
        <v>141619.12315167734</v>
      </c>
      <c r="F33" s="8">
        <f t="shared" si="3"/>
        <v>3858.5219978376672</v>
      </c>
      <c r="G33" s="8">
        <f t="shared" si="10"/>
        <v>79005.90503250208</v>
      </c>
      <c r="H33" s="8">
        <f t="shared" si="11"/>
        <v>1756.6879166666668</v>
      </c>
      <c r="I33" s="14">
        <f t="shared" si="4"/>
        <v>10949.397424340808</v>
      </c>
      <c r="J33" s="4">
        <f t="shared" si="5"/>
        <v>3858.5219978376667</v>
      </c>
      <c r="K33" s="4">
        <f t="shared" si="6"/>
        <v>5334.1875098364762</v>
      </c>
    </row>
    <row r="34" spans="1:11" x14ac:dyDescent="0.2">
      <c r="A34" s="3">
        <f t="shared" si="7"/>
        <v>25</v>
      </c>
      <c r="B34" s="14">
        <f t="shared" si="8"/>
        <v>368294.09496749792</v>
      </c>
      <c r="C34" s="8">
        <f t="shared" si="1"/>
        <v>9192.7095076741425</v>
      </c>
      <c r="D34" s="8">
        <f t="shared" si="2"/>
        <v>5278.8820278674693</v>
      </c>
      <c r="E34" s="8">
        <f t="shared" si="9"/>
        <v>146898.00517954482</v>
      </c>
      <c r="F34" s="8">
        <f t="shared" si="3"/>
        <v>3913.8274798066732</v>
      </c>
      <c r="G34" s="8">
        <f t="shared" si="10"/>
        <v>82919.73251230875</v>
      </c>
      <c r="H34" s="8">
        <f t="shared" ref="H34:H45" si="12">F$4/12</f>
        <v>1653.3533333333335</v>
      </c>
      <c r="I34" s="14">
        <f t="shared" si="4"/>
        <v>10846.062841007475</v>
      </c>
      <c r="J34" s="4">
        <f t="shared" si="5"/>
        <v>3913.8274798066727</v>
      </c>
      <c r="K34" s="4">
        <f t="shared" si="6"/>
        <v>5278.8820278674702</v>
      </c>
    </row>
    <row r="35" spans="1:11" x14ac:dyDescent="0.2">
      <c r="A35" s="3">
        <f t="shared" si="7"/>
        <v>26</v>
      </c>
      <c r="B35" s="14">
        <f t="shared" si="8"/>
        <v>364380.26748769125</v>
      </c>
      <c r="C35" s="8">
        <f t="shared" si="1"/>
        <v>9192.7095076741425</v>
      </c>
      <c r="D35" s="8">
        <f t="shared" si="2"/>
        <v>5222.783833990241</v>
      </c>
      <c r="E35" s="8">
        <f t="shared" si="9"/>
        <v>152120.78901353508</v>
      </c>
      <c r="F35" s="8">
        <f t="shared" si="3"/>
        <v>3969.9256736839016</v>
      </c>
      <c r="G35" s="8">
        <f t="shared" si="10"/>
        <v>86889.658185992652</v>
      </c>
      <c r="H35" s="8">
        <f t="shared" si="12"/>
        <v>1653.3533333333335</v>
      </c>
      <c r="I35" s="14">
        <f t="shared" si="4"/>
        <v>10846.062841007475</v>
      </c>
      <c r="J35" s="4">
        <f t="shared" si="5"/>
        <v>3969.925673683902</v>
      </c>
      <c r="K35" s="4">
        <f t="shared" si="6"/>
        <v>5222.783833990241</v>
      </c>
    </row>
    <row r="36" spans="1:11" x14ac:dyDescent="0.2">
      <c r="A36" s="3">
        <f t="shared" si="7"/>
        <v>27</v>
      </c>
      <c r="B36" s="14">
        <f t="shared" si="8"/>
        <v>360410.34181400738</v>
      </c>
      <c r="C36" s="8">
        <f t="shared" si="1"/>
        <v>9192.7095076741425</v>
      </c>
      <c r="D36" s="8">
        <f t="shared" si="2"/>
        <v>5165.8815660007722</v>
      </c>
      <c r="E36" s="8">
        <f t="shared" si="9"/>
        <v>157286.67057953586</v>
      </c>
      <c r="F36" s="8">
        <f t="shared" si="3"/>
        <v>4026.8279416733703</v>
      </c>
      <c r="G36" s="8">
        <f t="shared" si="10"/>
        <v>90916.486127666023</v>
      </c>
      <c r="H36" s="8">
        <f t="shared" si="12"/>
        <v>1653.3533333333335</v>
      </c>
      <c r="I36" s="14">
        <f t="shared" si="4"/>
        <v>10846.062841007475</v>
      </c>
      <c r="J36" s="4">
        <f t="shared" si="5"/>
        <v>4026.8279416733717</v>
      </c>
      <c r="K36" s="4">
        <f t="shared" si="6"/>
        <v>5165.8815660007713</v>
      </c>
    </row>
    <row r="37" spans="1:11" x14ac:dyDescent="0.2">
      <c r="A37" s="3">
        <f t="shared" si="7"/>
        <v>28</v>
      </c>
      <c r="B37" s="14">
        <f t="shared" si="8"/>
        <v>356383.51387233404</v>
      </c>
      <c r="C37" s="8">
        <f t="shared" si="1"/>
        <v>9192.7095076741425</v>
      </c>
      <c r="D37" s="8">
        <f t="shared" si="2"/>
        <v>5108.1636988367873</v>
      </c>
      <c r="E37" s="8">
        <f t="shared" si="9"/>
        <v>162394.83427837264</v>
      </c>
      <c r="F37" s="8">
        <f t="shared" si="3"/>
        <v>4084.5458088373553</v>
      </c>
      <c r="G37" s="8">
        <f t="shared" si="10"/>
        <v>95001.031936503379</v>
      </c>
      <c r="H37" s="8">
        <f t="shared" si="12"/>
        <v>1653.3533333333335</v>
      </c>
      <c r="I37" s="14">
        <f t="shared" si="4"/>
        <v>10846.062841007475</v>
      </c>
      <c r="J37" s="4">
        <f t="shared" si="5"/>
        <v>4084.5458088373562</v>
      </c>
      <c r="K37" s="4">
        <f t="shared" si="6"/>
        <v>5108.1636988367864</v>
      </c>
    </row>
    <row r="38" spans="1:11" x14ac:dyDescent="0.2">
      <c r="A38" s="3">
        <f t="shared" si="7"/>
        <v>29</v>
      </c>
      <c r="B38" s="14">
        <f t="shared" si="8"/>
        <v>352298.96806349669</v>
      </c>
      <c r="C38" s="8">
        <f t="shared" si="1"/>
        <v>9192.7095076741425</v>
      </c>
      <c r="D38" s="8">
        <f t="shared" si="2"/>
        <v>5049.6185422434519</v>
      </c>
      <c r="E38" s="8">
        <f t="shared" si="9"/>
        <v>167444.4528206161</v>
      </c>
      <c r="F38" s="8">
        <f t="shared" si="3"/>
        <v>4143.0909654306906</v>
      </c>
      <c r="G38" s="8">
        <f t="shared" si="10"/>
        <v>99144.122901934068</v>
      </c>
      <c r="H38" s="8">
        <f t="shared" si="12"/>
        <v>1653.3533333333335</v>
      </c>
      <c r="I38" s="14">
        <f t="shared" si="4"/>
        <v>10846.062841007475</v>
      </c>
      <c r="J38" s="4">
        <f t="shared" si="5"/>
        <v>4143.0909654306915</v>
      </c>
      <c r="K38" s="4">
        <f t="shared" si="6"/>
        <v>5049.618542243451</v>
      </c>
    </row>
    <row r="39" spans="1:11" x14ac:dyDescent="0.2">
      <c r="A39" s="3">
        <f t="shared" si="7"/>
        <v>30</v>
      </c>
      <c r="B39" s="14">
        <f t="shared" si="8"/>
        <v>348155.87709806598</v>
      </c>
      <c r="C39" s="8">
        <f t="shared" si="1"/>
        <v>9192.7095076741425</v>
      </c>
      <c r="D39" s="8">
        <f t="shared" si="2"/>
        <v>4990.2342384056119</v>
      </c>
      <c r="E39" s="8">
        <f t="shared" si="9"/>
        <v>172434.68705902173</v>
      </c>
      <c r="F39" s="8">
        <f t="shared" si="3"/>
        <v>4202.4752692685306</v>
      </c>
      <c r="G39" s="8">
        <f t="shared" si="10"/>
        <v>103346.5981712026</v>
      </c>
      <c r="H39" s="8">
        <f t="shared" si="12"/>
        <v>1653.3533333333335</v>
      </c>
      <c r="I39" s="14">
        <f t="shared" si="4"/>
        <v>10846.062841007475</v>
      </c>
      <c r="J39" s="4">
        <f t="shared" si="5"/>
        <v>4202.4752692685315</v>
      </c>
      <c r="K39" s="4">
        <f t="shared" si="6"/>
        <v>4990.234238405611</v>
      </c>
    </row>
    <row r="40" spans="1:11" x14ac:dyDescent="0.2">
      <c r="A40" s="3">
        <f t="shared" si="7"/>
        <v>31</v>
      </c>
      <c r="B40" s="14">
        <f t="shared" si="8"/>
        <v>343953.40182879742</v>
      </c>
      <c r="C40" s="8">
        <f t="shared" si="1"/>
        <v>9192.7095076741425</v>
      </c>
      <c r="D40" s="8">
        <f t="shared" si="2"/>
        <v>4929.9987595460962</v>
      </c>
      <c r="E40" s="8">
        <f t="shared" si="9"/>
        <v>177364.68581856781</v>
      </c>
      <c r="F40" s="8">
        <f t="shared" si="3"/>
        <v>4262.7107481280464</v>
      </c>
      <c r="G40" s="8">
        <f t="shared" si="10"/>
        <v>107609.30891933064</v>
      </c>
      <c r="H40" s="8">
        <f t="shared" si="12"/>
        <v>1653.3533333333335</v>
      </c>
      <c r="I40" s="14">
        <f t="shared" si="4"/>
        <v>10846.062841007475</v>
      </c>
      <c r="J40" s="4">
        <f t="shared" si="5"/>
        <v>4262.7107481280464</v>
      </c>
      <c r="K40" s="4">
        <f t="shared" si="6"/>
        <v>4929.9987595460962</v>
      </c>
    </row>
    <row r="41" spans="1:11" x14ac:dyDescent="0.2">
      <c r="A41" s="3">
        <f t="shared" si="7"/>
        <v>32</v>
      </c>
      <c r="B41" s="14">
        <f t="shared" si="8"/>
        <v>339690.69108066935</v>
      </c>
      <c r="C41" s="8">
        <f t="shared" si="1"/>
        <v>9192.7095076741425</v>
      </c>
      <c r="D41" s="8">
        <f t="shared" si="2"/>
        <v>4868.899905489593</v>
      </c>
      <c r="E41" s="8">
        <f t="shared" si="9"/>
        <v>182233.5857240574</v>
      </c>
      <c r="F41" s="8">
        <f t="shared" si="3"/>
        <v>4323.8096021845495</v>
      </c>
      <c r="G41" s="8">
        <f t="shared" si="10"/>
        <v>111933.11852151519</v>
      </c>
      <c r="H41" s="8">
        <f t="shared" si="12"/>
        <v>1653.3533333333335</v>
      </c>
      <c r="I41" s="14">
        <f t="shared" si="4"/>
        <v>10846.062841007475</v>
      </c>
      <c r="J41" s="4">
        <f t="shared" si="5"/>
        <v>4323.8096021845495</v>
      </c>
      <c r="K41" s="4">
        <f t="shared" si="6"/>
        <v>4868.899905489593</v>
      </c>
    </row>
    <row r="42" spans="1:11" x14ac:dyDescent="0.2">
      <c r="A42" s="3">
        <f t="shared" si="7"/>
        <v>33</v>
      </c>
      <c r="B42" s="14">
        <f t="shared" si="8"/>
        <v>335366.88147848478</v>
      </c>
      <c r="C42" s="8">
        <f t="shared" si="1"/>
        <v>9192.7095076741425</v>
      </c>
      <c r="D42" s="8">
        <f t="shared" si="2"/>
        <v>4806.9253011916144</v>
      </c>
      <c r="E42" s="8">
        <f t="shared" si="9"/>
        <v>187040.511025249</v>
      </c>
      <c r="F42" s="8">
        <f t="shared" si="3"/>
        <v>4385.7842064825281</v>
      </c>
      <c r="G42" s="8">
        <f t="shared" si="10"/>
        <v>116318.90272799772</v>
      </c>
      <c r="H42" s="8">
        <f t="shared" si="12"/>
        <v>1653.3533333333335</v>
      </c>
      <c r="I42" s="14">
        <f t="shared" si="4"/>
        <v>10846.062841007475</v>
      </c>
      <c r="J42" s="4">
        <f t="shared" si="5"/>
        <v>4385.7842064825272</v>
      </c>
      <c r="K42" s="4">
        <f t="shared" si="6"/>
        <v>4806.9253011916153</v>
      </c>
    </row>
    <row r="43" spans="1:11" x14ac:dyDescent="0.2">
      <c r="A43" s="3">
        <f t="shared" si="7"/>
        <v>34</v>
      </c>
      <c r="B43" s="14">
        <f t="shared" si="8"/>
        <v>330981.09727200225</v>
      </c>
      <c r="C43" s="8">
        <f t="shared" si="1"/>
        <v>9192.7095076741425</v>
      </c>
      <c r="D43" s="8">
        <f t="shared" si="2"/>
        <v>4744.0623942320317</v>
      </c>
      <c r="E43" s="8">
        <f t="shared" si="9"/>
        <v>191784.57341948102</v>
      </c>
      <c r="F43" s="8">
        <f t="shared" si="3"/>
        <v>4448.6471134421108</v>
      </c>
      <c r="G43" s="8">
        <f t="shared" si="10"/>
        <v>120767.54984143983</v>
      </c>
      <c r="H43" s="8">
        <f t="shared" si="12"/>
        <v>1653.3533333333335</v>
      </c>
      <c r="I43" s="14">
        <f t="shared" si="4"/>
        <v>10846.062841007475</v>
      </c>
      <c r="J43" s="4">
        <f t="shared" si="5"/>
        <v>4448.6471134421108</v>
      </c>
      <c r="K43" s="4">
        <f t="shared" si="6"/>
        <v>4744.0623942320317</v>
      </c>
    </row>
    <row r="44" spans="1:11" x14ac:dyDescent="0.2">
      <c r="A44" s="3">
        <f t="shared" si="7"/>
        <v>35</v>
      </c>
      <c r="B44" s="14">
        <f t="shared" si="8"/>
        <v>326532.45015856012</v>
      </c>
      <c r="C44" s="8">
        <f t="shared" si="1"/>
        <v>9192.7095076741425</v>
      </c>
      <c r="D44" s="8">
        <f t="shared" si="2"/>
        <v>4680.2984522726947</v>
      </c>
      <c r="E44" s="8">
        <f t="shared" si="9"/>
        <v>196464.87187175371</v>
      </c>
      <c r="F44" s="8">
        <f t="shared" si="3"/>
        <v>4512.4110554014478</v>
      </c>
      <c r="G44" s="8">
        <f t="shared" si="10"/>
        <v>125279.96089684128</v>
      </c>
      <c r="H44" s="8">
        <f t="shared" si="12"/>
        <v>1653.3533333333335</v>
      </c>
      <c r="I44" s="14">
        <f t="shared" si="4"/>
        <v>10846.062841007475</v>
      </c>
      <c r="J44" s="4">
        <f t="shared" si="5"/>
        <v>4512.4110554014469</v>
      </c>
      <c r="K44" s="4">
        <f t="shared" si="6"/>
        <v>4680.2984522726956</v>
      </c>
    </row>
    <row r="45" spans="1:11" x14ac:dyDescent="0.2">
      <c r="A45" s="3">
        <f t="shared" si="7"/>
        <v>36</v>
      </c>
      <c r="B45" s="14">
        <f t="shared" si="8"/>
        <v>322020.03910315869</v>
      </c>
      <c r="C45" s="8">
        <f t="shared" si="1"/>
        <v>9192.7095076741425</v>
      </c>
      <c r="D45" s="8">
        <f t="shared" si="2"/>
        <v>4615.6205604786073</v>
      </c>
      <c r="E45" s="8">
        <f t="shared" si="9"/>
        <v>201080.49243223231</v>
      </c>
      <c r="F45" s="8">
        <f t="shared" si="3"/>
        <v>4577.0889471955352</v>
      </c>
      <c r="G45" s="8">
        <f t="shared" si="10"/>
        <v>129857.04984403681</v>
      </c>
      <c r="H45" s="8">
        <f t="shared" si="12"/>
        <v>1653.3533333333335</v>
      </c>
      <c r="I45" s="14">
        <f t="shared" si="4"/>
        <v>10846.062841007475</v>
      </c>
      <c r="J45" s="4">
        <f t="shared" si="5"/>
        <v>4577.0889471955352</v>
      </c>
      <c r="K45" s="4">
        <f t="shared" si="6"/>
        <v>4615.6205604786073</v>
      </c>
    </row>
    <row r="46" spans="1:11" x14ac:dyDescent="0.2">
      <c r="A46" s="3">
        <f t="shared" si="7"/>
        <v>37</v>
      </c>
      <c r="B46" s="14">
        <f t="shared" si="8"/>
        <v>317442.95015596313</v>
      </c>
      <c r="C46" s="8">
        <f t="shared" si="1"/>
        <v>9192.7095076741425</v>
      </c>
      <c r="D46" s="8">
        <f t="shared" si="2"/>
        <v>4550.0156189021372</v>
      </c>
      <c r="E46" s="8">
        <f t="shared" si="9"/>
        <v>205630.50805113444</v>
      </c>
      <c r="F46" s="8">
        <f t="shared" si="3"/>
        <v>4642.6938887720053</v>
      </c>
      <c r="G46" s="8">
        <f t="shared" si="10"/>
        <v>134499.74373280883</v>
      </c>
      <c r="H46" s="8">
        <f t="shared" ref="H46:H57" si="13">F$5/12</f>
        <v>1550.01875</v>
      </c>
      <c r="I46" s="14">
        <f t="shared" si="4"/>
        <v>10742.728257674142</v>
      </c>
      <c r="J46" s="4">
        <f t="shared" si="5"/>
        <v>4642.6938887720044</v>
      </c>
      <c r="K46" s="4">
        <f t="shared" si="6"/>
        <v>4550.0156189021382</v>
      </c>
    </row>
    <row r="47" spans="1:11" x14ac:dyDescent="0.2">
      <c r="A47" s="3">
        <f t="shared" si="7"/>
        <v>38</v>
      </c>
      <c r="B47" s="14">
        <f t="shared" si="8"/>
        <v>312800.25626719114</v>
      </c>
      <c r="C47" s="8">
        <f t="shared" si="1"/>
        <v>9192.7095076741425</v>
      </c>
      <c r="D47" s="8">
        <f t="shared" si="2"/>
        <v>4483.4703398297388</v>
      </c>
      <c r="E47" s="8">
        <f t="shared" si="9"/>
        <v>210113.97839096418</v>
      </c>
      <c r="F47" s="8">
        <f t="shared" si="3"/>
        <v>4709.2391678444037</v>
      </c>
      <c r="G47" s="8">
        <f t="shared" si="10"/>
        <v>139208.98290065324</v>
      </c>
      <c r="H47" s="8">
        <f t="shared" si="13"/>
        <v>1550.01875</v>
      </c>
      <c r="I47" s="14">
        <f t="shared" si="4"/>
        <v>10742.728257674142</v>
      </c>
      <c r="J47" s="4">
        <f t="shared" si="5"/>
        <v>4709.2391678444037</v>
      </c>
      <c r="K47" s="4">
        <f t="shared" si="6"/>
        <v>4483.4703398297388</v>
      </c>
    </row>
    <row r="48" spans="1:11" x14ac:dyDescent="0.2">
      <c r="A48" s="3">
        <f t="shared" si="7"/>
        <v>39</v>
      </c>
      <c r="B48" s="14">
        <f t="shared" si="8"/>
        <v>308091.01709934673</v>
      </c>
      <c r="C48" s="8">
        <f t="shared" si="1"/>
        <v>9192.7095076741425</v>
      </c>
      <c r="D48" s="8">
        <f t="shared" si="2"/>
        <v>4415.9712450906363</v>
      </c>
      <c r="E48" s="8">
        <f t="shared" si="9"/>
        <v>214529.94963605481</v>
      </c>
      <c r="F48" s="8">
        <f t="shared" si="3"/>
        <v>4776.7382625835062</v>
      </c>
      <c r="G48" s="8">
        <f t="shared" si="10"/>
        <v>143985.72116323674</v>
      </c>
      <c r="H48" s="8">
        <f t="shared" si="13"/>
        <v>1550.01875</v>
      </c>
      <c r="I48" s="14">
        <f t="shared" si="4"/>
        <v>10742.728257674142</v>
      </c>
      <c r="J48" s="4">
        <f t="shared" si="5"/>
        <v>4776.7382625835053</v>
      </c>
      <c r="K48" s="4">
        <f t="shared" si="6"/>
        <v>4415.9712450906372</v>
      </c>
    </row>
    <row r="49" spans="1:11" x14ac:dyDescent="0.2">
      <c r="A49" s="3">
        <f t="shared" si="7"/>
        <v>40</v>
      </c>
      <c r="B49" s="14">
        <f t="shared" si="8"/>
        <v>303314.27883676323</v>
      </c>
      <c r="C49" s="8">
        <f t="shared" si="1"/>
        <v>9192.7095076741425</v>
      </c>
      <c r="D49" s="8">
        <f t="shared" si="2"/>
        <v>4347.5046633269394</v>
      </c>
      <c r="E49" s="8">
        <f t="shared" si="9"/>
        <v>218877.45429938176</v>
      </c>
      <c r="F49" s="8">
        <f t="shared" si="3"/>
        <v>4845.2048443472031</v>
      </c>
      <c r="G49" s="8">
        <f t="shared" si="10"/>
        <v>148830.92600758394</v>
      </c>
      <c r="H49" s="8">
        <f t="shared" si="13"/>
        <v>1550.01875</v>
      </c>
      <c r="I49" s="14">
        <f t="shared" si="4"/>
        <v>10742.728257674142</v>
      </c>
      <c r="J49" s="4">
        <f t="shared" si="5"/>
        <v>4845.2048443472022</v>
      </c>
      <c r="K49" s="4">
        <f t="shared" si="6"/>
        <v>4347.5046633269403</v>
      </c>
    </row>
    <row r="50" spans="1:11" x14ac:dyDescent="0.2">
      <c r="A50" s="3">
        <f t="shared" si="7"/>
        <v>41</v>
      </c>
      <c r="B50" s="14">
        <f t="shared" si="8"/>
        <v>298469.07399241603</v>
      </c>
      <c r="C50" s="8">
        <f t="shared" si="1"/>
        <v>9192.7095076741425</v>
      </c>
      <c r="D50" s="8">
        <f t="shared" si="2"/>
        <v>4278.056727224629</v>
      </c>
      <c r="E50" s="8">
        <f t="shared" si="9"/>
        <v>223155.5110266064</v>
      </c>
      <c r="F50" s="8">
        <f t="shared" si="3"/>
        <v>4914.6527804495136</v>
      </c>
      <c r="G50" s="8">
        <f t="shared" si="10"/>
        <v>153745.57878803345</v>
      </c>
      <c r="H50" s="8">
        <f t="shared" si="13"/>
        <v>1550.01875</v>
      </c>
      <c r="I50" s="14">
        <f t="shared" si="4"/>
        <v>10742.728257674142</v>
      </c>
      <c r="J50" s="4">
        <f t="shared" si="5"/>
        <v>4914.6527804495117</v>
      </c>
      <c r="K50" s="4">
        <f t="shared" si="6"/>
        <v>4278.0567272246308</v>
      </c>
    </row>
    <row r="51" spans="1:11" x14ac:dyDescent="0.2">
      <c r="A51" s="3">
        <f t="shared" si="7"/>
        <v>42</v>
      </c>
      <c r="B51" s="14">
        <f t="shared" si="8"/>
        <v>293554.42121196649</v>
      </c>
      <c r="C51" s="8">
        <f t="shared" si="1"/>
        <v>9192.7095076741425</v>
      </c>
      <c r="D51" s="8">
        <f t="shared" si="2"/>
        <v>4207.6133707048521</v>
      </c>
      <c r="E51" s="8">
        <f t="shared" si="9"/>
        <v>227363.12439731124</v>
      </c>
      <c r="F51" s="8">
        <f t="shared" si="3"/>
        <v>4985.0961369692905</v>
      </c>
      <c r="G51" s="8">
        <f t="shared" si="10"/>
        <v>158730.67492500274</v>
      </c>
      <c r="H51" s="8">
        <f t="shared" si="13"/>
        <v>1550.01875</v>
      </c>
      <c r="I51" s="14">
        <f t="shared" si="4"/>
        <v>10742.728257674142</v>
      </c>
      <c r="J51" s="4">
        <f t="shared" si="5"/>
        <v>4985.0961369692895</v>
      </c>
      <c r="K51" s="4">
        <f t="shared" si="6"/>
        <v>4207.613370704853</v>
      </c>
    </row>
    <row r="52" spans="1:11" x14ac:dyDescent="0.2">
      <c r="A52" s="3">
        <f t="shared" si="7"/>
        <v>43</v>
      </c>
      <c r="B52" s="14">
        <f t="shared" si="8"/>
        <v>288569.32507499721</v>
      </c>
      <c r="C52" s="8">
        <f t="shared" si="1"/>
        <v>9192.7095076741425</v>
      </c>
      <c r="D52" s="8">
        <f t="shared" si="2"/>
        <v>4136.1603260749598</v>
      </c>
      <c r="E52" s="8">
        <f t="shared" si="9"/>
        <v>231499.2847233862</v>
      </c>
      <c r="F52" s="8">
        <f t="shared" si="3"/>
        <v>5056.5491815991827</v>
      </c>
      <c r="G52" s="8">
        <f t="shared" si="10"/>
        <v>163787.22410660191</v>
      </c>
      <c r="H52" s="8">
        <f t="shared" si="13"/>
        <v>1550.01875</v>
      </c>
      <c r="I52" s="14">
        <f t="shared" si="4"/>
        <v>10742.728257674142</v>
      </c>
      <c r="J52" s="4">
        <f t="shared" si="5"/>
        <v>5056.5491815991818</v>
      </c>
      <c r="K52" s="4">
        <f t="shared" si="6"/>
        <v>4136.1603260749607</v>
      </c>
    </row>
    <row r="53" spans="1:11" x14ac:dyDescent="0.2">
      <c r="A53" s="3">
        <f t="shared" si="7"/>
        <v>44</v>
      </c>
      <c r="B53" s="14">
        <f t="shared" si="8"/>
        <v>283512.77589339804</v>
      </c>
      <c r="C53" s="8">
        <f t="shared" si="1"/>
        <v>9192.7095076741425</v>
      </c>
      <c r="D53" s="8">
        <f t="shared" si="2"/>
        <v>4063.6831211387048</v>
      </c>
      <c r="E53" s="8">
        <f t="shared" si="9"/>
        <v>235562.96784452492</v>
      </c>
      <c r="F53" s="8">
        <f t="shared" si="3"/>
        <v>5129.0263865354373</v>
      </c>
      <c r="G53" s="8">
        <f t="shared" si="10"/>
        <v>168916.25049313734</v>
      </c>
      <c r="H53" s="8">
        <f t="shared" si="13"/>
        <v>1550.01875</v>
      </c>
      <c r="I53" s="14">
        <f t="shared" si="4"/>
        <v>10742.728257674142</v>
      </c>
      <c r="J53" s="4">
        <f t="shared" si="5"/>
        <v>5129.0263865354373</v>
      </c>
      <c r="K53" s="4">
        <f t="shared" si="6"/>
        <v>4063.6831211387052</v>
      </c>
    </row>
    <row r="54" spans="1:11" x14ac:dyDescent="0.2">
      <c r="A54" s="3">
        <f t="shared" si="7"/>
        <v>45</v>
      </c>
      <c r="B54" s="14">
        <f t="shared" si="8"/>
        <v>278383.7495068626</v>
      </c>
      <c r="C54" s="8">
        <f t="shared" si="1"/>
        <v>9192.7095076741425</v>
      </c>
      <c r="D54" s="8">
        <f t="shared" si="2"/>
        <v>3990.1670762650301</v>
      </c>
      <c r="E54" s="8">
        <f t="shared" si="9"/>
        <v>239553.13492078995</v>
      </c>
      <c r="F54" s="8">
        <f t="shared" si="3"/>
        <v>5202.5424314091124</v>
      </c>
      <c r="G54" s="8">
        <f t="shared" si="10"/>
        <v>174118.79292454646</v>
      </c>
      <c r="H54" s="8">
        <f t="shared" si="13"/>
        <v>1550.01875</v>
      </c>
      <c r="I54" s="14">
        <f t="shared" si="4"/>
        <v>10742.728257674142</v>
      </c>
      <c r="J54" s="4">
        <f t="shared" si="5"/>
        <v>5202.5424314091115</v>
      </c>
      <c r="K54" s="4">
        <f t="shared" si="6"/>
        <v>3990.167076265031</v>
      </c>
    </row>
    <row r="55" spans="1:11" x14ac:dyDescent="0.2">
      <c r="A55" s="3">
        <f t="shared" si="7"/>
        <v>46</v>
      </c>
      <c r="B55" s="14">
        <f t="shared" si="8"/>
        <v>273181.20707545348</v>
      </c>
      <c r="C55" s="8">
        <f t="shared" si="1"/>
        <v>9192.7095076741425</v>
      </c>
      <c r="D55" s="8">
        <f t="shared" si="2"/>
        <v>3915.5973014148326</v>
      </c>
      <c r="E55" s="8">
        <f t="shared" si="9"/>
        <v>243468.73222220477</v>
      </c>
      <c r="F55" s="8">
        <f t="shared" si="3"/>
        <v>5277.1122062593095</v>
      </c>
      <c r="G55" s="8">
        <f t="shared" si="10"/>
        <v>179395.90513080577</v>
      </c>
      <c r="H55" s="8">
        <f t="shared" si="13"/>
        <v>1550.01875</v>
      </c>
      <c r="I55" s="14">
        <f t="shared" si="4"/>
        <v>10742.728257674142</v>
      </c>
      <c r="J55" s="4">
        <f t="shared" si="5"/>
        <v>5277.1122062593076</v>
      </c>
      <c r="K55" s="4">
        <f t="shared" si="6"/>
        <v>3915.5973014148349</v>
      </c>
    </row>
    <row r="56" spans="1:11" x14ac:dyDescent="0.2">
      <c r="A56" s="3">
        <f t="shared" si="7"/>
        <v>47</v>
      </c>
      <c r="B56" s="14">
        <f t="shared" si="8"/>
        <v>267904.09486919414</v>
      </c>
      <c r="C56" s="8">
        <f t="shared" si="1"/>
        <v>9192.7095076741425</v>
      </c>
      <c r="D56" s="8">
        <f t="shared" si="2"/>
        <v>3839.9586931251156</v>
      </c>
      <c r="E56" s="8">
        <f t="shared" si="9"/>
        <v>247308.69091532988</v>
      </c>
      <c r="F56" s="8">
        <f t="shared" si="3"/>
        <v>5352.7508145490265</v>
      </c>
      <c r="G56" s="8">
        <f t="shared" si="10"/>
        <v>184748.65594535478</v>
      </c>
      <c r="H56" s="8">
        <f t="shared" si="13"/>
        <v>1550.01875</v>
      </c>
      <c r="I56" s="14">
        <f t="shared" si="4"/>
        <v>10742.728257674142</v>
      </c>
      <c r="J56" s="4">
        <f t="shared" si="5"/>
        <v>5352.7508145490256</v>
      </c>
      <c r="K56" s="4">
        <f t="shared" si="6"/>
        <v>3839.958693125117</v>
      </c>
    </row>
    <row r="57" spans="1:11" x14ac:dyDescent="0.2">
      <c r="A57" s="3">
        <f t="shared" si="7"/>
        <v>48</v>
      </c>
      <c r="B57" s="14">
        <f t="shared" si="8"/>
        <v>262551.3440546451</v>
      </c>
      <c r="C57" s="8">
        <f t="shared" si="1"/>
        <v>9192.7095076741425</v>
      </c>
      <c r="D57" s="8">
        <f t="shared" si="2"/>
        <v>3763.2359314499126</v>
      </c>
      <c r="E57" s="8">
        <f t="shared" si="9"/>
        <v>251071.9268467798</v>
      </c>
      <c r="F57" s="8">
        <f t="shared" si="3"/>
        <v>5429.4735762242299</v>
      </c>
      <c r="G57" s="8">
        <f t="shared" si="10"/>
        <v>190178.12952157902</v>
      </c>
      <c r="H57" s="8">
        <f t="shared" si="13"/>
        <v>1550.01875</v>
      </c>
      <c r="I57" s="14">
        <f t="shared" si="4"/>
        <v>10742.728257674142</v>
      </c>
      <c r="J57" s="4">
        <f t="shared" si="5"/>
        <v>5429.4735762242281</v>
      </c>
      <c r="K57" s="4">
        <f t="shared" si="6"/>
        <v>3763.2359314499145</v>
      </c>
    </row>
    <row r="58" spans="1:11" x14ac:dyDescent="0.2">
      <c r="A58" s="3">
        <f t="shared" si="7"/>
        <v>49</v>
      </c>
      <c r="B58" s="14">
        <f t="shared" si="8"/>
        <v>257121.87047842087</v>
      </c>
      <c r="C58" s="8">
        <f t="shared" si="1"/>
        <v>9192.7095076741425</v>
      </c>
      <c r="D58" s="8">
        <f t="shared" si="2"/>
        <v>3685.4134768573654</v>
      </c>
      <c r="E58" s="8">
        <f t="shared" si="9"/>
        <v>254757.34032363715</v>
      </c>
      <c r="F58" s="8">
        <f t="shared" si="3"/>
        <v>5507.2960308167767</v>
      </c>
      <c r="G58" s="8">
        <f t="shared" si="10"/>
        <v>195685.42555239578</v>
      </c>
      <c r="H58" s="8">
        <f t="shared" ref="H58:H69" si="14">F$6/12</f>
        <v>1446.6841666666667</v>
      </c>
      <c r="I58" s="14">
        <f t="shared" si="4"/>
        <v>10639.393674340809</v>
      </c>
      <c r="J58" s="4">
        <f t="shared" si="5"/>
        <v>5507.2960308167758</v>
      </c>
      <c r="K58" s="4">
        <f t="shared" si="6"/>
        <v>3685.4134768573667</v>
      </c>
    </row>
    <row r="59" spans="1:11" x14ac:dyDescent="0.2">
      <c r="A59" s="3">
        <f t="shared" si="7"/>
        <v>50</v>
      </c>
      <c r="B59" s="14">
        <f t="shared" si="8"/>
        <v>251614.5744476041</v>
      </c>
      <c r="C59" s="8">
        <f t="shared" si="1"/>
        <v>9192.7095076741425</v>
      </c>
      <c r="D59" s="8">
        <f t="shared" si="2"/>
        <v>3606.4755670823251</v>
      </c>
      <c r="E59" s="8">
        <f t="shared" si="9"/>
        <v>258363.81589071947</v>
      </c>
      <c r="F59" s="8">
        <f t="shared" si="3"/>
        <v>5586.2339405918174</v>
      </c>
      <c r="G59" s="8">
        <f t="shared" si="10"/>
        <v>201271.65949298762</v>
      </c>
      <c r="H59" s="8">
        <f t="shared" si="14"/>
        <v>1446.6841666666667</v>
      </c>
      <c r="I59" s="14">
        <f t="shared" si="4"/>
        <v>10639.393674340809</v>
      </c>
      <c r="J59" s="4">
        <f t="shared" si="5"/>
        <v>5586.2339405918165</v>
      </c>
      <c r="K59" s="4">
        <f t="shared" si="6"/>
        <v>3606.4755670823261</v>
      </c>
    </row>
    <row r="60" spans="1:11" x14ac:dyDescent="0.2">
      <c r="A60" s="3">
        <f t="shared" si="7"/>
        <v>51</v>
      </c>
      <c r="B60" s="14">
        <f t="shared" si="8"/>
        <v>246028.34050701227</v>
      </c>
      <c r="C60" s="8">
        <f t="shared" si="1"/>
        <v>9192.7095076741425</v>
      </c>
      <c r="D60" s="8">
        <f t="shared" si="2"/>
        <v>3526.4062139338421</v>
      </c>
      <c r="E60" s="8">
        <f t="shared" si="9"/>
        <v>261890.22210465331</v>
      </c>
      <c r="F60" s="8">
        <f t="shared" si="3"/>
        <v>5666.3032937403004</v>
      </c>
      <c r="G60" s="8">
        <f t="shared" si="10"/>
        <v>206937.96278672791</v>
      </c>
      <c r="H60" s="8">
        <f t="shared" si="14"/>
        <v>1446.6841666666667</v>
      </c>
      <c r="I60" s="14">
        <f t="shared" si="4"/>
        <v>10639.393674340809</v>
      </c>
      <c r="J60" s="4">
        <f t="shared" si="5"/>
        <v>5666.3032937402986</v>
      </c>
      <c r="K60" s="4">
        <f t="shared" si="6"/>
        <v>3526.4062139338439</v>
      </c>
    </row>
    <row r="61" spans="1:11" x14ac:dyDescent="0.2">
      <c r="A61" s="3">
        <f t="shared" si="7"/>
        <v>52</v>
      </c>
      <c r="B61" s="14">
        <f t="shared" si="8"/>
        <v>240362.03721327198</v>
      </c>
      <c r="C61" s="8">
        <f t="shared" si="1"/>
        <v>9192.7095076741425</v>
      </c>
      <c r="D61" s="8">
        <f t="shared" si="2"/>
        <v>3445.1892000568978</v>
      </c>
      <c r="E61" s="8">
        <f t="shared" si="9"/>
        <v>265335.4113047102</v>
      </c>
      <c r="F61" s="8">
        <f t="shared" si="3"/>
        <v>5747.5203076172447</v>
      </c>
      <c r="G61" s="8">
        <f t="shared" si="10"/>
        <v>212685.48309434514</v>
      </c>
      <c r="H61" s="8">
        <f t="shared" si="14"/>
        <v>1446.6841666666667</v>
      </c>
      <c r="I61" s="14">
        <f t="shared" si="4"/>
        <v>10639.393674340809</v>
      </c>
      <c r="J61" s="4">
        <f t="shared" si="5"/>
        <v>5747.5203076172429</v>
      </c>
      <c r="K61" s="4">
        <f t="shared" si="6"/>
        <v>3445.1892000568996</v>
      </c>
    </row>
    <row r="62" spans="1:11" x14ac:dyDescent="0.2">
      <c r="A62" s="3">
        <f t="shared" si="7"/>
        <v>53</v>
      </c>
      <c r="B62" s="14">
        <f t="shared" si="8"/>
        <v>234614.51690565475</v>
      </c>
      <c r="C62" s="8">
        <f t="shared" si="1"/>
        <v>9192.7095076741425</v>
      </c>
      <c r="D62" s="8">
        <f t="shared" si="2"/>
        <v>3362.8080756477175</v>
      </c>
      <c r="E62" s="8">
        <f t="shared" si="9"/>
        <v>268698.21938035794</v>
      </c>
      <c r="F62" s="8">
        <f t="shared" si="3"/>
        <v>5829.901432026425</v>
      </c>
      <c r="G62" s="8">
        <f t="shared" si="10"/>
        <v>218515.38452637155</v>
      </c>
      <c r="H62" s="8">
        <f t="shared" si="14"/>
        <v>1446.6841666666667</v>
      </c>
      <c r="I62" s="14">
        <f t="shared" si="4"/>
        <v>10639.393674340809</v>
      </c>
      <c r="J62" s="4">
        <f t="shared" si="5"/>
        <v>5829.9014320264232</v>
      </c>
      <c r="K62" s="4">
        <f t="shared" si="6"/>
        <v>3362.8080756477193</v>
      </c>
    </row>
    <row r="63" spans="1:11" x14ac:dyDescent="0.2">
      <c r="A63" s="3">
        <f t="shared" si="7"/>
        <v>54</v>
      </c>
      <c r="B63" s="14">
        <f t="shared" si="8"/>
        <v>228784.61547362834</v>
      </c>
      <c r="C63" s="8">
        <f t="shared" si="1"/>
        <v>9192.7095076741425</v>
      </c>
      <c r="D63" s="8">
        <f t="shared" si="2"/>
        <v>3279.2461551220058</v>
      </c>
      <c r="E63" s="8">
        <f t="shared" si="9"/>
        <v>271977.46553547995</v>
      </c>
      <c r="F63" s="8">
        <f t="shared" si="3"/>
        <v>5913.4633525521367</v>
      </c>
      <c r="G63" s="8">
        <f t="shared" si="10"/>
        <v>224428.8478789237</v>
      </c>
      <c r="H63" s="8">
        <f t="shared" si="14"/>
        <v>1446.6841666666667</v>
      </c>
      <c r="I63" s="14">
        <f t="shared" si="4"/>
        <v>10639.393674340809</v>
      </c>
      <c r="J63" s="4">
        <f t="shared" si="5"/>
        <v>5913.4633525521349</v>
      </c>
      <c r="K63" s="4">
        <f t="shared" si="6"/>
        <v>3279.2461551220076</v>
      </c>
    </row>
    <row r="64" spans="1:11" x14ac:dyDescent="0.2">
      <c r="A64" s="3">
        <f t="shared" si="7"/>
        <v>55</v>
      </c>
      <c r="B64" s="14">
        <f t="shared" si="8"/>
        <v>222871.15212107619</v>
      </c>
      <c r="C64" s="8">
        <f t="shared" si="1"/>
        <v>9192.7095076741425</v>
      </c>
      <c r="D64" s="8">
        <f t="shared" si="2"/>
        <v>3194.486513735425</v>
      </c>
      <c r="E64" s="8">
        <f t="shared" si="9"/>
        <v>275171.95204921538</v>
      </c>
      <c r="F64" s="8">
        <f t="shared" si="3"/>
        <v>5998.222993938718</v>
      </c>
      <c r="G64" s="8">
        <f t="shared" si="10"/>
        <v>230427.07087286242</v>
      </c>
      <c r="H64" s="8">
        <f t="shared" si="14"/>
        <v>1446.6841666666667</v>
      </c>
      <c r="I64" s="14">
        <f t="shared" si="4"/>
        <v>10639.393674340809</v>
      </c>
      <c r="J64" s="4">
        <f t="shared" si="5"/>
        <v>5998.2229939387162</v>
      </c>
      <c r="K64" s="4">
        <f t="shared" si="6"/>
        <v>3194.4865137354263</v>
      </c>
    </row>
    <row r="65" spans="1:11" x14ac:dyDescent="0.2">
      <c r="A65" s="3">
        <f t="shared" si="7"/>
        <v>56</v>
      </c>
      <c r="B65" s="14">
        <f t="shared" si="8"/>
        <v>216872.92912713747</v>
      </c>
      <c r="C65" s="8">
        <f t="shared" si="1"/>
        <v>9192.7095076741425</v>
      </c>
      <c r="D65" s="8">
        <f t="shared" si="2"/>
        <v>3108.5119841556366</v>
      </c>
      <c r="E65" s="8">
        <f t="shared" si="9"/>
        <v>278280.46403337101</v>
      </c>
      <c r="F65" s="8">
        <f t="shared" si="3"/>
        <v>6084.1975235185055</v>
      </c>
      <c r="G65" s="8">
        <f t="shared" si="10"/>
        <v>236511.26839638091</v>
      </c>
      <c r="H65" s="8">
        <f t="shared" si="14"/>
        <v>1446.6841666666667</v>
      </c>
      <c r="I65" s="14">
        <f t="shared" si="4"/>
        <v>10639.393674340809</v>
      </c>
      <c r="J65" s="4">
        <f t="shared" si="5"/>
        <v>6084.1975235185046</v>
      </c>
      <c r="K65" s="4">
        <f t="shared" si="6"/>
        <v>3108.5119841556379</v>
      </c>
    </row>
    <row r="66" spans="1:11" x14ac:dyDescent="0.2">
      <c r="A66" s="3">
        <f t="shared" si="7"/>
        <v>57</v>
      </c>
      <c r="B66" s="14">
        <f t="shared" si="8"/>
        <v>210788.73160361897</v>
      </c>
      <c r="C66" s="8">
        <f t="shared" si="1"/>
        <v>9192.7095076741425</v>
      </c>
      <c r="D66" s="8">
        <f t="shared" si="2"/>
        <v>3021.305152985205</v>
      </c>
      <c r="E66" s="8">
        <f t="shared" si="9"/>
        <v>281301.76918635622</v>
      </c>
      <c r="F66" s="8">
        <f t="shared" si="3"/>
        <v>6171.404354688937</v>
      </c>
      <c r="G66" s="8">
        <f t="shared" si="10"/>
        <v>242682.67275106985</v>
      </c>
      <c r="H66" s="8">
        <f t="shared" si="14"/>
        <v>1446.6841666666667</v>
      </c>
      <c r="I66" s="14">
        <f t="shared" si="4"/>
        <v>10639.393674340809</v>
      </c>
      <c r="J66" s="4">
        <f t="shared" si="5"/>
        <v>6171.4043546889352</v>
      </c>
      <c r="K66" s="4">
        <f t="shared" si="6"/>
        <v>3021.3051529852073</v>
      </c>
    </row>
    <row r="67" spans="1:11" x14ac:dyDescent="0.2">
      <c r="A67" s="3">
        <f t="shared" si="7"/>
        <v>58</v>
      </c>
      <c r="B67" s="14">
        <f t="shared" si="8"/>
        <v>204617.32724893003</v>
      </c>
      <c r="C67" s="8">
        <f t="shared" si="1"/>
        <v>9192.7095076741425</v>
      </c>
      <c r="D67" s="8">
        <f t="shared" si="2"/>
        <v>2932.8483572346636</v>
      </c>
      <c r="E67" s="8">
        <f t="shared" si="9"/>
        <v>284234.6175435909</v>
      </c>
      <c r="F67" s="8">
        <f t="shared" si="3"/>
        <v>6259.8611504394794</v>
      </c>
      <c r="G67" s="8">
        <f t="shared" si="10"/>
        <v>248942.53390150933</v>
      </c>
      <c r="H67" s="8">
        <f t="shared" si="14"/>
        <v>1446.6841666666667</v>
      </c>
      <c r="I67" s="14">
        <f t="shared" si="4"/>
        <v>10639.393674340809</v>
      </c>
      <c r="J67" s="4">
        <f t="shared" si="5"/>
        <v>6259.8611504394776</v>
      </c>
      <c r="K67" s="4">
        <f t="shared" si="6"/>
        <v>2932.8483572346649</v>
      </c>
    </row>
    <row r="68" spans="1:11" x14ac:dyDescent="0.2">
      <c r="A68" s="3">
        <f t="shared" si="7"/>
        <v>59</v>
      </c>
      <c r="B68" s="14">
        <f t="shared" si="8"/>
        <v>198357.46609849055</v>
      </c>
      <c r="C68" s="8">
        <f t="shared" si="1"/>
        <v>9192.7095076741425</v>
      </c>
      <c r="D68" s="8">
        <f t="shared" si="2"/>
        <v>2843.1236807450309</v>
      </c>
      <c r="E68" s="8">
        <f t="shared" si="9"/>
        <v>287077.74122433591</v>
      </c>
      <c r="F68" s="8">
        <f t="shared" si="3"/>
        <v>6349.5858269291111</v>
      </c>
      <c r="G68" s="8">
        <f t="shared" si="10"/>
        <v>255292.11972843844</v>
      </c>
      <c r="H68" s="8">
        <f t="shared" si="14"/>
        <v>1446.6841666666667</v>
      </c>
      <c r="I68" s="14">
        <f t="shared" si="4"/>
        <v>10639.393674340809</v>
      </c>
      <c r="J68" s="4">
        <f t="shared" si="5"/>
        <v>6349.5858269291102</v>
      </c>
      <c r="K68" s="4">
        <f t="shared" si="6"/>
        <v>2843.1236807450323</v>
      </c>
    </row>
    <row r="69" spans="1:11" x14ac:dyDescent="0.2">
      <c r="A69" s="3">
        <f t="shared" si="7"/>
        <v>60</v>
      </c>
      <c r="B69" s="14">
        <f t="shared" si="8"/>
        <v>192007.88027156144</v>
      </c>
      <c r="C69" s="8">
        <f t="shared" si="1"/>
        <v>9192.7095076741425</v>
      </c>
      <c r="D69" s="8">
        <f t="shared" si="2"/>
        <v>2752.112950559047</v>
      </c>
      <c r="E69" s="8">
        <f t="shared" si="9"/>
        <v>289829.85417489498</v>
      </c>
      <c r="F69" s="8">
        <f t="shared" si="3"/>
        <v>6440.5965571150955</v>
      </c>
      <c r="G69" s="8">
        <f t="shared" si="10"/>
        <v>261732.71628555353</v>
      </c>
      <c r="H69" s="8">
        <f t="shared" si="14"/>
        <v>1446.6841666666667</v>
      </c>
      <c r="I69" s="14">
        <f t="shared" si="4"/>
        <v>10639.393674340809</v>
      </c>
      <c r="J69" s="4">
        <f t="shared" si="5"/>
        <v>6440.5965571150937</v>
      </c>
      <c r="K69" s="4">
        <f t="shared" si="6"/>
        <v>2752.1129505590488</v>
      </c>
    </row>
    <row r="70" spans="1:11" x14ac:dyDescent="0.2">
      <c r="A70" s="3">
        <f t="shared" si="7"/>
        <v>61</v>
      </c>
      <c r="B70" s="14">
        <f t="shared" si="8"/>
        <v>185567.28371444636</v>
      </c>
      <c r="C70" s="8">
        <f t="shared" si="1"/>
        <v>9192.7095076741425</v>
      </c>
      <c r="D70" s="8">
        <f t="shared" si="2"/>
        <v>2659.7977332403975</v>
      </c>
      <c r="E70" s="8">
        <f t="shared" si="9"/>
        <v>292489.65190813539</v>
      </c>
      <c r="F70" s="8">
        <f t="shared" si="3"/>
        <v>6532.9117744337454</v>
      </c>
      <c r="G70" s="8">
        <f t="shared" si="10"/>
        <v>268265.62805998727</v>
      </c>
      <c r="H70" s="8">
        <f t="shared" ref="H70:H80" si="15">F$7/12</f>
        <v>1343.3495833333334</v>
      </c>
      <c r="I70" s="14">
        <f t="shared" si="4"/>
        <v>10536.059091007475</v>
      </c>
      <c r="J70" s="4">
        <f t="shared" si="5"/>
        <v>6532.9117744337436</v>
      </c>
      <c r="K70" s="4">
        <f t="shared" si="6"/>
        <v>2659.7977332403989</v>
      </c>
    </row>
    <row r="71" spans="1:11" x14ac:dyDescent="0.2">
      <c r="A71" s="3">
        <f t="shared" si="7"/>
        <v>62</v>
      </c>
      <c r="B71" s="14">
        <f t="shared" si="8"/>
        <v>179034.37194001261</v>
      </c>
      <c r="C71" s="8">
        <f t="shared" si="1"/>
        <v>9192.7095076741425</v>
      </c>
      <c r="D71" s="8">
        <f t="shared" si="2"/>
        <v>2566.1593311401807</v>
      </c>
      <c r="E71" s="8">
        <f t="shared" si="9"/>
        <v>295055.81123927556</v>
      </c>
      <c r="F71" s="8">
        <f t="shared" si="3"/>
        <v>6626.5501765339613</v>
      </c>
      <c r="G71" s="8">
        <f t="shared" si="10"/>
        <v>274892.17823652126</v>
      </c>
      <c r="H71" s="8">
        <f t="shared" si="15"/>
        <v>1343.3495833333334</v>
      </c>
      <c r="I71" s="14">
        <f t="shared" si="4"/>
        <v>10536.059091007475</v>
      </c>
      <c r="J71" s="4">
        <f t="shared" si="5"/>
        <v>6626.5501765339604</v>
      </c>
      <c r="K71" s="4">
        <f t="shared" si="6"/>
        <v>2566.1593311401821</v>
      </c>
    </row>
    <row r="72" spans="1:11" x14ac:dyDescent="0.2">
      <c r="A72" s="3">
        <f t="shared" si="7"/>
        <v>63</v>
      </c>
      <c r="B72" s="14">
        <f t="shared" si="8"/>
        <v>172407.82176347866</v>
      </c>
      <c r="C72" s="8">
        <f t="shared" si="1"/>
        <v>9192.7095076741425</v>
      </c>
      <c r="D72" s="8">
        <f t="shared" si="2"/>
        <v>2471.1787786098603</v>
      </c>
      <c r="E72" s="8">
        <f t="shared" si="9"/>
        <v>297526.9900178854</v>
      </c>
      <c r="F72" s="8">
        <f t="shared" si="3"/>
        <v>6721.5307290642822</v>
      </c>
      <c r="G72" s="8">
        <f t="shared" si="10"/>
        <v>281613.70896558557</v>
      </c>
      <c r="H72" s="8">
        <f t="shared" si="15"/>
        <v>1343.3495833333334</v>
      </c>
      <c r="I72" s="14">
        <f t="shared" si="4"/>
        <v>10536.059091007475</v>
      </c>
      <c r="J72" s="4">
        <f t="shared" si="5"/>
        <v>6721.5307290642804</v>
      </c>
      <c r="K72" s="4">
        <f t="shared" si="6"/>
        <v>2471.1787786098621</v>
      </c>
    </row>
    <row r="73" spans="1:11" x14ac:dyDescent="0.2">
      <c r="A73" s="3">
        <f t="shared" si="7"/>
        <v>64</v>
      </c>
      <c r="B73" s="14">
        <f t="shared" si="8"/>
        <v>165686.29103441437</v>
      </c>
      <c r="C73" s="8">
        <f t="shared" si="1"/>
        <v>9192.7095076741425</v>
      </c>
      <c r="D73" s="8">
        <f t="shared" si="2"/>
        <v>2374.8368381599389</v>
      </c>
      <c r="E73" s="8">
        <f t="shared" si="9"/>
        <v>299901.82685604534</v>
      </c>
      <c r="F73" s="8">
        <f t="shared" si="3"/>
        <v>6817.8726695142032</v>
      </c>
      <c r="G73" s="8">
        <f t="shared" si="10"/>
        <v>288431.58163509978</v>
      </c>
      <c r="H73" s="8">
        <f t="shared" si="15"/>
        <v>1343.3495833333334</v>
      </c>
      <c r="I73" s="14">
        <f t="shared" si="4"/>
        <v>10536.059091007475</v>
      </c>
      <c r="J73" s="4">
        <f t="shared" si="5"/>
        <v>6817.8726695142013</v>
      </c>
      <c r="K73" s="4">
        <f t="shared" si="6"/>
        <v>2374.8368381599412</v>
      </c>
    </row>
    <row r="74" spans="1:11" x14ac:dyDescent="0.2">
      <c r="A74" s="3">
        <f t="shared" si="7"/>
        <v>65</v>
      </c>
      <c r="B74" s="14">
        <f t="shared" si="8"/>
        <v>158868.41836490016</v>
      </c>
      <c r="C74" s="8">
        <f t="shared" si="1"/>
        <v>9192.7095076741425</v>
      </c>
      <c r="D74" s="8">
        <f t="shared" si="2"/>
        <v>2277.1139965635689</v>
      </c>
      <c r="E74" s="8">
        <f t="shared" si="9"/>
        <v>302178.94085260894</v>
      </c>
      <c r="F74" s="8">
        <f t="shared" si="3"/>
        <v>6915.5955111105741</v>
      </c>
      <c r="G74" s="8">
        <f t="shared" si="10"/>
        <v>295347.17714621034</v>
      </c>
      <c r="H74" s="8">
        <f t="shared" si="15"/>
        <v>1343.3495833333334</v>
      </c>
      <c r="I74" s="14">
        <f t="shared" si="4"/>
        <v>10536.059091007475</v>
      </c>
      <c r="J74" s="4">
        <f t="shared" si="5"/>
        <v>6915.5955111105723</v>
      </c>
      <c r="K74" s="4">
        <f t="shared" si="6"/>
        <v>2277.1139965635703</v>
      </c>
    </row>
    <row r="75" spans="1:11" x14ac:dyDescent="0.2">
      <c r="A75" s="3">
        <f t="shared" si="7"/>
        <v>66</v>
      </c>
      <c r="B75" s="14">
        <f t="shared" si="8"/>
        <v>151952.82285378958</v>
      </c>
      <c r="C75" s="8">
        <f t="shared" ref="C75:C93" si="16">PMT(C$4/12,C$5,-C$3)</f>
        <v>9192.7095076741425</v>
      </c>
      <c r="D75" s="8">
        <f t="shared" ref="D75:D93" si="17">($C$4/12)*B75</f>
        <v>2177.9904609043169</v>
      </c>
      <c r="E75" s="8">
        <f t="shared" si="9"/>
        <v>304356.93131351325</v>
      </c>
      <c r="F75" s="8">
        <f t="shared" ref="F75:F93" si="18">C75-D75</f>
        <v>7014.7190467698256</v>
      </c>
      <c r="G75" s="8">
        <f t="shared" si="10"/>
        <v>302361.89619298017</v>
      </c>
      <c r="H75" s="8">
        <f t="shared" si="15"/>
        <v>1343.3495833333334</v>
      </c>
      <c r="I75" s="14">
        <f t="shared" ref="I75:I93" si="19">C75+H75</f>
        <v>10536.059091007475</v>
      </c>
      <c r="J75" s="4">
        <f t="shared" ref="J75:J93" si="20">PPMT($C$4/12,A75,$C$5,-C$3)</f>
        <v>7014.7190467698238</v>
      </c>
      <c r="K75" s="4">
        <f t="shared" ref="K75:K93" si="21">C75-J75</f>
        <v>2177.9904609043188</v>
      </c>
    </row>
    <row r="76" spans="1:11" x14ac:dyDescent="0.2">
      <c r="A76" s="3">
        <f t="shared" ref="A76:A83" si="22">A75+1</f>
        <v>67</v>
      </c>
      <c r="B76" s="14">
        <f t="shared" ref="B76:B93" si="23">B75-F75</f>
        <v>144938.10380701974</v>
      </c>
      <c r="C76" s="8">
        <f t="shared" si="16"/>
        <v>9192.7095076741425</v>
      </c>
      <c r="D76" s="8">
        <f t="shared" si="17"/>
        <v>2077.4461545672825</v>
      </c>
      <c r="E76" s="8">
        <f t="shared" ref="E76:E93" si="24">E75+D76</f>
        <v>306434.37746808055</v>
      </c>
      <c r="F76" s="8">
        <f t="shared" si="18"/>
        <v>7115.2633531068604</v>
      </c>
      <c r="G76" s="8">
        <f t="shared" ref="G76:G93" si="25">G75+F76</f>
        <v>309477.15954608703</v>
      </c>
      <c r="H76" s="8">
        <f t="shared" si="15"/>
        <v>1343.3495833333334</v>
      </c>
      <c r="I76" s="14">
        <f t="shared" si="19"/>
        <v>10536.059091007475</v>
      </c>
      <c r="J76" s="4">
        <f t="shared" si="20"/>
        <v>7115.2633531068577</v>
      </c>
      <c r="K76" s="4">
        <f t="shared" si="21"/>
        <v>2077.4461545672848</v>
      </c>
    </row>
    <row r="77" spans="1:11" x14ac:dyDescent="0.2">
      <c r="A77" s="3">
        <f t="shared" si="22"/>
        <v>68</v>
      </c>
      <c r="B77" s="14">
        <f t="shared" si="23"/>
        <v>137822.84045391288</v>
      </c>
      <c r="C77" s="8">
        <f t="shared" si="16"/>
        <v>9192.7095076741425</v>
      </c>
      <c r="D77" s="8">
        <f t="shared" si="17"/>
        <v>1975.4607131727512</v>
      </c>
      <c r="E77" s="8">
        <f t="shared" si="24"/>
        <v>308409.83818125329</v>
      </c>
      <c r="F77" s="8">
        <f t="shared" si="18"/>
        <v>7217.2487945013909</v>
      </c>
      <c r="G77" s="8">
        <f t="shared" si="25"/>
        <v>316694.40834058844</v>
      </c>
      <c r="H77" s="8">
        <f t="shared" si="15"/>
        <v>1343.3495833333334</v>
      </c>
      <c r="I77" s="14">
        <f t="shared" si="19"/>
        <v>10536.059091007475</v>
      </c>
      <c r="J77" s="4">
        <f t="shared" si="20"/>
        <v>7217.2487945013891</v>
      </c>
      <c r="K77" s="4">
        <f t="shared" si="21"/>
        <v>1975.4607131727535</v>
      </c>
    </row>
    <row r="78" spans="1:11" x14ac:dyDescent="0.2">
      <c r="A78" s="3">
        <f t="shared" si="22"/>
        <v>69</v>
      </c>
      <c r="B78" s="14">
        <f t="shared" si="23"/>
        <v>130605.5916594115</v>
      </c>
      <c r="C78" s="8">
        <f t="shared" si="16"/>
        <v>9192.7095076741425</v>
      </c>
      <c r="D78" s="8">
        <f t="shared" si="17"/>
        <v>1872.0134804515646</v>
      </c>
      <c r="E78" s="8">
        <f t="shared" si="24"/>
        <v>310281.85166170483</v>
      </c>
      <c r="F78" s="8">
        <f t="shared" si="18"/>
        <v>7320.6960272225779</v>
      </c>
      <c r="G78" s="8">
        <f t="shared" si="25"/>
        <v>324015.104367811</v>
      </c>
      <c r="H78" s="8">
        <f t="shared" si="15"/>
        <v>1343.3495833333334</v>
      </c>
      <c r="I78" s="14">
        <f t="shared" si="19"/>
        <v>10536.059091007475</v>
      </c>
      <c r="J78" s="4">
        <f t="shared" si="20"/>
        <v>7320.6960272225751</v>
      </c>
      <c r="K78" s="4">
        <f t="shared" si="21"/>
        <v>1872.0134804515674</v>
      </c>
    </row>
    <row r="79" spans="1:11" x14ac:dyDescent="0.2">
      <c r="A79" s="3">
        <f t="shared" si="22"/>
        <v>70</v>
      </c>
      <c r="B79" s="14">
        <f t="shared" si="23"/>
        <v>123284.89563218891</v>
      </c>
      <c r="C79" s="8">
        <f t="shared" si="16"/>
        <v>9192.7095076741425</v>
      </c>
      <c r="D79" s="8">
        <f t="shared" si="17"/>
        <v>1767.0835040613742</v>
      </c>
      <c r="E79" s="8">
        <f t="shared" si="24"/>
        <v>312048.93516576622</v>
      </c>
      <c r="F79" s="8">
        <f t="shared" si="18"/>
        <v>7425.6260036127678</v>
      </c>
      <c r="G79" s="8">
        <f t="shared" si="25"/>
        <v>331440.73037142376</v>
      </c>
      <c r="H79" s="8">
        <f t="shared" si="15"/>
        <v>1343.3495833333334</v>
      </c>
      <c r="I79" s="14">
        <f t="shared" si="19"/>
        <v>10536.059091007475</v>
      </c>
      <c r="J79" s="4">
        <f t="shared" si="20"/>
        <v>7425.6260036127651</v>
      </c>
      <c r="K79" s="4">
        <f t="shared" si="21"/>
        <v>1767.0835040613774</v>
      </c>
    </row>
    <row r="80" spans="1:11" x14ac:dyDescent="0.2">
      <c r="A80" s="3">
        <f t="shared" si="22"/>
        <v>71</v>
      </c>
      <c r="B80" s="14">
        <f t="shared" si="23"/>
        <v>115859.26962857615</v>
      </c>
      <c r="C80" s="8">
        <f t="shared" si="16"/>
        <v>9192.7095076741425</v>
      </c>
      <c r="D80" s="8">
        <f t="shared" si="17"/>
        <v>1660.6495313429245</v>
      </c>
      <c r="E80" s="8">
        <f t="shared" si="24"/>
        <v>313709.58469710912</v>
      </c>
      <c r="F80" s="8">
        <f t="shared" si="18"/>
        <v>7532.0599763312184</v>
      </c>
      <c r="G80" s="8">
        <f t="shared" si="25"/>
        <v>338972.79034775496</v>
      </c>
      <c r="H80" s="8">
        <f t="shared" si="15"/>
        <v>1343.3495833333334</v>
      </c>
      <c r="I80" s="14">
        <f t="shared" si="19"/>
        <v>10536.059091007475</v>
      </c>
      <c r="J80" s="4">
        <f t="shared" si="20"/>
        <v>7532.0599763312157</v>
      </c>
      <c r="K80" s="4">
        <f t="shared" si="21"/>
        <v>1660.6495313429268</v>
      </c>
    </row>
    <row r="81" spans="1:11" x14ac:dyDescent="0.2">
      <c r="A81" s="3">
        <f t="shared" si="22"/>
        <v>72</v>
      </c>
      <c r="B81" s="14">
        <f t="shared" si="23"/>
        <v>108327.20965224493</v>
      </c>
      <c r="C81" s="8">
        <f t="shared" si="16"/>
        <v>9192.7095076741425</v>
      </c>
      <c r="D81" s="8">
        <f t="shared" si="17"/>
        <v>1552.6900050155105</v>
      </c>
      <c r="E81" s="8">
        <f t="shared" si="24"/>
        <v>315262.27470212465</v>
      </c>
      <c r="F81" s="8">
        <f t="shared" si="18"/>
        <v>7640.0195026586316</v>
      </c>
      <c r="G81" s="8">
        <f t="shared" si="25"/>
        <v>346612.80985041359</v>
      </c>
      <c r="H81" s="8">
        <v>0</v>
      </c>
      <c r="I81" s="14">
        <f t="shared" si="19"/>
        <v>9192.7095076741425</v>
      </c>
      <c r="J81" s="4">
        <f t="shared" si="20"/>
        <v>7640.0195026586298</v>
      </c>
      <c r="K81" s="4">
        <f t="shared" si="21"/>
        <v>1552.6900050155127</v>
      </c>
    </row>
    <row r="82" spans="1:11" x14ac:dyDescent="0.2">
      <c r="A82" s="3">
        <f t="shared" si="22"/>
        <v>73</v>
      </c>
      <c r="B82" s="14">
        <f t="shared" si="23"/>
        <v>100687.1901495863</v>
      </c>
      <c r="C82" s="8">
        <f t="shared" si="16"/>
        <v>9192.7095076741425</v>
      </c>
      <c r="D82" s="8">
        <f t="shared" si="17"/>
        <v>1443.1830588107368</v>
      </c>
      <c r="E82" s="8">
        <f t="shared" si="24"/>
        <v>316705.45776093536</v>
      </c>
      <c r="F82" s="8">
        <f t="shared" si="18"/>
        <v>7749.5264488634057</v>
      </c>
      <c r="G82" s="8">
        <f t="shared" si="25"/>
        <v>354362.33629927697</v>
      </c>
      <c r="H82" s="8">
        <v>0</v>
      </c>
      <c r="I82" s="14">
        <f t="shared" si="19"/>
        <v>9192.7095076741425</v>
      </c>
      <c r="J82" s="4">
        <f t="shared" si="20"/>
        <v>7749.5264488634029</v>
      </c>
      <c r="K82" s="4">
        <f t="shared" si="21"/>
        <v>1443.1830588107396</v>
      </c>
    </row>
    <row r="83" spans="1:11" x14ac:dyDescent="0.2">
      <c r="A83" s="3">
        <f t="shared" si="22"/>
        <v>74</v>
      </c>
      <c r="B83" s="14">
        <f t="shared" si="23"/>
        <v>92937.663700722886</v>
      </c>
      <c r="C83" s="8">
        <f t="shared" si="16"/>
        <v>9192.7095076741425</v>
      </c>
      <c r="D83" s="8">
        <f t="shared" si="17"/>
        <v>1332.1065130436946</v>
      </c>
      <c r="E83" s="8">
        <f t="shared" si="24"/>
        <v>318037.56427397905</v>
      </c>
      <c r="F83" s="8">
        <f t="shared" si="18"/>
        <v>7860.6029946304479</v>
      </c>
      <c r="G83" s="8">
        <f t="shared" si="25"/>
        <v>362222.93929390743</v>
      </c>
      <c r="H83" s="8">
        <v>0</v>
      </c>
      <c r="I83" s="14">
        <f t="shared" si="19"/>
        <v>9192.7095076741425</v>
      </c>
      <c r="J83" s="4">
        <f t="shared" si="20"/>
        <v>7860.6029946304461</v>
      </c>
      <c r="K83" s="4">
        <f t="shared" si="21"/>
        <v>1332.1065130436964</v>
      </c>
    </row>
    <row r="84" spans="1:11" x14ac:dyDescent="0.2">
      <c r="A84" s="3">
        <f>A83+1</f>
        <v>75</v>
      </c>
      <c r="B84" s="14">
        <f t="shared" si="23"/>
        <v>85077.060706092438</v>
      </c>
      <c r="C84" s="8">
        <f t="shared" si="16"/>
        <v>9192.7095076741425</v>
      </c>
      <c r="D84" s="8">
        <f t="shared" si="17"/>
        <v>1219.4378701206581</v>
      </c>
      <c r="E84" s="8">
        <f t="shared" si="24"/>
        <v>319257.00214409968</v>
      </c>
      <c r="F84" s="8">
        <f t="shared" si="18"/>
        <v>7973.2716375534847</v>
      </c>
      <c r="G84" s="8">
        <f t="shared" si="25"/>
        <v>370196.2109314609</v>
      </c>
      <c r="H84" s="8">
        <v>0</v>
      </c>
      <c r="I84" s="14">
        <f t="shared" si="19"/>
        <v>9192.7095076741425</v>
      </c>
      <c r="J84" s="4">
        <f t="shared" si="20"/>
        <v>7973.271637553481</v>
      </c>
      <c r="K84" s="4">
        <f t="shared" si="21"/>
        <v>1219.4378701206615</v>
      </c>
    </row>
    <row r="85" spans="1:11" x14ac:dyDescent="0.2">
      <c r="A85" s="3">
        <f t="shared" ref="A85:A92" si="26">A84+1</f>
        <v>76</v>
      </c>
      <c r="B85" s="14">
        <f t="shared" si="23"/>
        <v>77103.789068538958</v>
      </c>
      <c r="C85" s="8">
        <f t="shared" si="16"/>
        <v>9192.7095076741425</v>
      </c>
      <c r="D85" s="8">
        <f t="shared" si="17"/>
        <v>1105.1543099823916</v>
      </c>
      <c r="E85" s="8">
        <f t="shared" si="24"/>
        <v>320362.15645408205</v>
      </c>
      <c r="F85" s="8">
        <f t="shared" si="18"/>
        <v>8087.5551976917504</v>
      </c>
      <c r="G85" s="8">
        <f t="shared" si="25"/>
        <v>378283.76612915267</v>
      </c>
      <c r="H85" s="8">
        <v>0</v>
      </c>
      <c r="I85" s="14">
        <f t="shared" si="19"/>
        <v>9192.7095076741425</v>
      </c>
      <c r="J85" s="4">
        <f t="shared" si="20"/>
        <v>8087.5551976917486</v>
      </c>
      <c r="K85" s="4">
        <f t="shared" si="21"/>
        <v>1105.1543099823939</v>
      </c>
    </row>
    <row r="86" spans="1:11" x14ac:dyDescent="0.2">
      <c r="A86" s="3">
        <f t="shared" si="26"/>
        <v>77</v>
      </c>
      <c r="B86" s="14">
        <f t="shared" si="23"/>
        <v>69016.233870847209</v>
      </c>
      <c r="C86" s="8">
        <f t="shared" si="16"/>
        <v>9192.7095076741425</v>
      </c>
      <c r="D86" s="8">
        <f t="shared" si="17"/>
        <v>989.23268548214321</v>
      </c>
      <c r="E86" s="8">
        <f t="shared" si="24"/>
        <v>321351.38913956418</v>
      </c>
      <c r="F86" s="8">
        <f t="shared" si="18"/>
        <v>8203.4768221919985</v>
      </c>
      <c r="G86" s="8">
        <f t="shared" si="25"/>
        <v>386487.2429513447</v>
      </c>
      <c r="H86" s="8">
        <v>0</v>
      </c>
      <c r="I86" s="14">
        <f t="shared" si="19"/>
        <v>9192.7095076741425</v>
      </c>
      <c r="J86" s="4">
        <f t="shared" si="20"/>
        <v>8203.4768221919985</v>
      </c>
      <c r="K86" s="4">
        <f t="shared" si="21"/>
        <v>989.23268548214401</v>
      </c>
    </row>
    <row r="87" spans="1:11" x14ac:dyDescent="0.2">
      <c r="A87" s="3">
        <f t="shared" si="26"/>
        <v>78</v>
      </c>
      <c r="B87" s="14">
        <f t="shared" si="23"/>
        <v>60812.757048655214</v>
      </c>
      <c r="C87" s="8">
        <f t="shared" si="16"/>
        <v>9192.7095076741425</v>
      </c>
      <c r="D87" s="8">
        <f t="shared" si="17"/>
        <v>871.64951769739127</v>
      </c>
      <c r="E87" s="8">
        <f t="shared" si="24"/>
        <v>322223.03865726158</v>
      </c>
      <c r="F87" s="8">
        <f t="shared" si="18"/>
        <v>8321.0599899767512</v>
      </c>
      <c r="G87" s="8">
        <f t="shared" si="25"/>
        <v>394808.30294132145</v>
      </c>
      <c r="H87" s="8">
        <v>0</v>
      </c>
      <c r="I87" s="14">
        <f t="shared" si="19"/>
        <v>9192.7095076741425</v>
      </c>
      <c r="J87" s="4">
        <f t="shared" si="20"/>
        <v>8321.0599899767476</v>
      </c>
      <c r="K87" s="4">
        <f t="shared" si="21"/>
        <v>871.64951769739491</v>
      </c>
    </row>
    <row r="88" spans="1:11" x14ac:dyDescent="0.2">
      <c r="A88" s="3">
        <f t="shared" si="26"/>
        <v>79</v>
      </c>
      <c r="B88" s="14">
        <f t="shared" si="23"/>
        <v>52491.697058678459</v>
      </c>
      <c r="C88" s="8">
        <f t="shared" si="16"/>
        <v>9192.7095076741425</v>
      </c>
      <c r="D88" s="8">
        <f t="shared" si="17"/>
        <v>752.38099117439117</v>
      </c>
      <c r="E88" s="8">
        <f t="shared" si="24"/>
        <v>322975.41964843596</v>
      </c>
      <c r="F88" s="8">
        <f t="shared" si="18"/>
        <v>8440.3285164997505</v>
      </c>
      <c r="G88" s="8">
        <f t="shared" si="25"/>
        <v>403248.63145782123</v>
      </c>
      <c r="H88" s="8">
        <v>0</v>
      </c>
      <c r="I88" s="14">
        <f t="shared" si="19"/>
        <v>9192.7095076741425</v>
      </c>
      <c r="J88" s="4">
        <f t="shared" si="20"/>
        <v>8440.3285164997487</v>
      </c>
      <c r="K88" s="4">
        <f t="shared" si="21"/>
        <v>752.38099117439378</v>
      </c>
    </row>
    <row r="89" spans="1:11" x14ac:dyDescent="0.2">
      <c r="A89" s="3">
        <f t="shared" si="26"/>
        <v>80</v>
      </c>
      <c r="B89" s="14">
        <f t="shared" si="23"/>
        <v>44051.368542178709</v>
      </c>
      <c r="C89" s="8">
        <f t="shared" si="16"/>
        <v>9192.7095076741425</v>
      </c>
      <c r="D89" s="8">
        <f t="shared" si="17"/>
        <v>631.40294910456146</v>
      </c>
      <c r="E89" s="8">
        <f t="shared" si="24"/>
        <v>323606.82259754051</v>
      </c>
      <c r="F89" s="8">
        <f t="shared" si="18"/>
        <v>8561.3065585695804</v>
      </c>
      <c r="G89" s="8">
        <f t="shared" si="25"/>
        <v>411809.93801639084</v>
      </c>
      <c r="H89" s="8">
        <v>0</v>
      </c>
      <c r="I89" s="14">
        <f t="shared" si="19"/>
        <v>9192.7095076741425</v>
      </c>
      <c r="J89" s="4">
        <f t="shared" si="20"/>
        <v>8561.3065585695786</v>
      </c>
      <c r="K89" s="4">
        <f t="shared" si="21"/>
        <v>631.40294910456396</v>
      </c>
    </row>
    <row r="90" spans="1:11" x14ac:dyDescent="0.2">
      <c r="A90" s="3">
        <f t="shared" si="26"/>
        <v>81</v>
      </c>
      <c r="B90" s="14">
        <f t="shared" si="23"/>
        <v>35490.061983609128</v>
      </c>
      <c r="C90" s="8">
        <f t="shared" si="16"/>
        <v>9192.7095076741425</v>
      </c>
      <c r="D90" s="8">
        <f t="shared" si="17"/>
        <v>508.6908884317308</v>
      </c>
      <c r="E90" s="8">
        <f t="shared" si="24"/>
        <v>324115.51348597225</v>
      </c>
      <c r="F90" s="8">
        <f t="shared" si="18"/>
        <v>8684.0186192424117</v>
      </c>
      <c r="G90" s="8">
        <f t="shared" si="25"/>
        <v>420493.95663563325</v>
      </c>
      <c r="H90" s="8">
        <v>0</v>
      </c>
      <c r="I90" s="14">
        <f t="shared" si="19"/>
        <v>9192.7095076741425</v>
      </c>
      <c r="J90" s="4">
        <f t="shared" si="20"/>
        <v>8684.0186192424098</v>
      </c>
      <c r="K90" s="4">
        <f t="shared" si="21"/>
        <v>508.69088843173267</v>
      </c>
    </row>
    <row r="91" spans="1:11" x14ac:dyDescent="0.2">
      <c r="A91" s="3">
        <f t="shared" si="26"/>
        <v>82</v>
      </c>
      <c r="B91" s="14">
        <f t="shared" si="23"/>
        <v>26806.043364366717</v>
      </c>
      <c r="C91" s="8">
        <f t="shared" si="16"/>
        <v>9192.7095076741425</v>
      </c>
      <c r="D91" s="8">
        <f t="shared" si="17"/>
        <v>384.2199548892562</v>
      </c>
      <c r="E91" s="8">
        <f t="shared" si="24"/>
        <v>324499.73344086151</v>
      </c>
      <c r="F91" s="8">
        <f t="shared" si="18"/>
        <v>8808.4895527848857</v>
      </c>
      <c r="G91" s="8">
        <f t="shared" si="25"/>
        <v>429302.44618841814</v>
      </c>
      <c r="H91" s="8">
        <v>0</v>
      </c>
      <c r="I91" s="14">
        <f t="shared" si="19"/>
        <v>9192.7095076741425</v>
      </c>
      <c r="J91" s="4">
        <f t="shared" si="20"/>
        <v>8808.4895527848839</v>
      </c>
      <c r="K91" s="4">
        <f t="shared" si="21"/>
        <v>384.21995488925859</v>
      </c>
    </row>
    <row r="92" spans="1:11" x14ac:dyDescent="0.2">
      <c r="A92" s="3">
        <f t="shared" si="26"/>
        <v>83</v>
      </c>
      <c r="B92" s="14">
        <f t="shared" si="23"/>
        <v>17997.553811581831</v>
      </c>
      <c r="C92" s="8">
        <f t="shared" si="16"/>
        <v>9192.7095076741425</v>
      </c>
      <c r="D92" s="8">
        <f t="shared" si="17"/>
        <v>257.96493796600623</v>
      </c>
      <c r="E92" s="8">
        <f t="shared" si="24"/>
        <v>324757.69837882754</v>
      </c>
      <c r="F92" s="8">
        <f t="shared" si="18"/>
        <v>8934.7445697081366</v>
      </c>
      <c r="G92" s="8">
        <f t="shared" si="25"/>
        <v>438237.19075812626</v>
      </c>
      <c r="H92" s="8">
        <v>0</v>
      </c>
      <c r="I92" s="14">
        <f t="shared" si="19"/>
        <v>9192.7095076741425</v>
      </c>
      <c r="J92" s="4">
        <f t="shared" si="20"/>
        <v>8934.744569708133</v>
      </c>
      <c r="K92" s="4">
        <f t="shared" si="21"/>
        <v>257.96493796600953</v>
      </c>
    </row>
    <row r="93" spans="1:11" x14ac:dyDescent="0.2">
      <c r="A93" s="3">
        <f>A92+1</f>
        <v>84</v>
      </c>
      <c r="B93" s="14">
        <f t="shared" si="23"/>
        <v>9062.8092418736942</v>
      </c>
      <c r="C93" s="8">
        <f t="shared" si="16"/>
        <v>9192.7095076741425</v>
      </c>
      <c r="D93" s="8">
        <f t="shared" si="17"/>
        <v>129.9002658001896</v>
      </c>
      <c r="E93" s="8">
        <f t="shared" si="24"/>
        <v>324887.59864462772</v>
      </c>
      <c r="F93" s="8">
        <f t="shared" si="18"/>
        <v>9062.8092418739525</v>
      </c>
      <c r="G93" s="8">
        <f t="shared" si="25"/>
        <v>447300.00000000023</v>
      </c>
      <c r="H93" s="8">
        <v>0</v>
      </c>
      <c r="I93" s="14">
        <f t="shared" si="19"/>
        <v>9192.7095076741425</v>
      </c>
      <c r="J93" s="4">
        <f t="shared" si="20"/>
        <v>9062.8092418739507</v>
      </c>
      <c r="K93" s="4">
        <f t="shared" si="21"/>
        <v>129.90026580019185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RAG Loan Calculator</vt:lpstr>
      <vt:lpstr>Insurance &amp; Value Added Service</vt:lpstr>
      <vt:lpstr>Sheet3</vt:lpstr>
      <vt:lpstr>Sheet2</vt:lpstr>
      <vt:lpstr>Sheet4</vt:lpstr>
      <vt:lpstr>Sheet1</vt:lpstr>
      <vt:lpstr>'RAG Loan Calculator'!Print_Area</vt:lpstr>
      <vt:lpstr>Sheet1!Print_Area</vt:lpstr>
    </vt:vector>
  </TitlesOfParts>
  <Company>NIB Bank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usman.arif</dc:creator>
  <cp:lastModifiedBy>Arman Ali Ansari</cp:lastModifiedBy>
  <cp:lastPrinted>2019-12-30T14:58:27Z</cp:lastPrinted>
  <dcterms:created xsi:type="dcterms:W3CDTF">2007-03-06T07:13:10Z</dcterms:created>
  <dcterms:modified xsi:type="dcterms:W3CDTF">2023-02-13T06:45:12Z</dcterms:modified>
</cp:coreProperties>
</file>